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15" windowWidth="15480" windowHeight="10710" tabRatio="840" activeTab="9"/>
  </bookViews>
  <sheets>
    <sheet name="мз" sheetId="12" r:id="rId1"/>
    <sheet name="пр.1+2 " sheetId="4" r:id="rId2"/>
    <sheet name="пр.3" sheetId="5" r:id="rId3"/>
    <sheet name="пр.4" sheetId="6" r:id="rId4"/>
    <sheet name="пр.5" sheetId="7" r:id="rId5"/>
    <sheet name="пр.6" sheetId="8" r:id="rId6"/>
    <sheet name="проверка 2020" sheetId="10" r:id="rId7"/>
    <sheet name="проверка 2021" sheetId="14" r:id="rId8"/>
    <sheet name="проверка 2022" sheetId="15" r:id="rId9"/>
    <sheet name="304" sheetId="13" r:id="rId10"/>
  </sheets>
  <externalReferences>
    <externalReference r:id="rId11"/>
  </externalReferences>
  <definedNames>
    <definedName name="_xlnm.Print_Area" localSheetId="0">мз!$A$1:$R$445</definedName>
    <definedName name="_xlnm.Print_Area" localSheetId="1">'пр.1+2 '!$A$1:$G$106</definedName>
    <definedName name="_xlnm.Print_Area" localSheetId="4">пр.5!$A$1:$H$39</definedName>
  </definedNames>
  <calcPr calcId="125725"/>
</workbook>
</file>

<file path=xl/calcChain.xml><?xml version="1.0" encoding="utf-8"?>
<calcChain xmlns="http://schemas.openxmlformats.org/spreadsheetml/2006/main">
  <c r="G9" i="13"/>
  <c r="E9"/>
  <c r="B7" i="8"/>
  <c r="G71" i="4"/>
  <c r="F71"/>
  <c r="C22" i="10"/>
  <c r="C20"/>
  <c r="C29"/>
  <c r="C24" i="8"/>
  <c r="C22"/>
  <c r="A24"/>
  <c r="A22"/>
  <c r="C51" i="6"/>
  <c r="C49"/>
  <c r="A51"/>
  <c r="A49"/>
  <c r="C39" i="7"/>
  <c r="C37"/>
  <c r="A39"/>
  <c r="A37"/>
  <c r="C81" i="5"/>
  <c r="A81"/>
  <c r="C79"/>
  <c r="A79"/>
  <c r="C106" i="4"/>
  <c r="C104"/>
  <c r="A106"/>
  <c r="A104"/>
  <c r="E4" i="10"/>
  <c r="E39"/>
  <c r="F74" i="5"/>
  <c r="F55"/>
  <c r="D28" i="10"/>
  <c r="F54" i="5"/>
  <c r="B17"/>
  <c r="B53"/>
  <c r="B14"/>
  <c r="F24" i="7"/>
  <c r="H24"/>
  <c r="F18"/>
  <c r="F19"/>
  <c r="F6"/>
  <c r="F9"/>
  <c r="D21"/>
  <c r="E9"/>
  <c r="F7"/>
  <c r="F34" i="5"/>
  <c r="C34"/>
  <c r="F68" i="4"/>
  <c r="C25" i="10"/>
  <c r="C33"/>
  <c r="C30"/>
  <c r="F33" i="4"/>
  <c r="C7" i="10"/>
  <c r="C87" i="4"/>
  <c r="B87"/>
  <c r="C36"/>
  <c r="B36"/>
  <c r="A36"/>
  <c r="C35"/>
  <c r="R31"/>
  <c r="C33"/>
  <c r="B33"/>
  <c r="A33"/>
  <c r="N40"/>
  <c r="L41"/>
  <c r="L42"/>
  <c r="O35"/>
  <c r="O34"/>
  <c r="O36"/>
  <c r="N34"/>
  <c r="N36" s="1"/>
  <c r="N30"/>
  <c r="O31"/>
  <c r="O30"/>
  <c r="L30"/>
  <c r="N23" l="1"/>
  <c r="L23"/>
  <c r="D21" i="10" l="1"/>
  <c r="A376" i="12" l="1"/>
  <c r="A312"/>
  <c r="A255"/>
  <c r="A197"/>
  <c r="A127"/>
  <c r="A57"/>
  <c r="E11" i="13" l="1"/>
  <c r="D15" l="1"/>
  <c r="E15"/>
  <c r="F15"/>
  <c r="G15"/>
  <c r="D14"/>
  <c r="E14"/>
  <c r="F14"/>
  <c r="G14"/>
  <c r="D13"/>
  <c r="E13"/>
  <c r="F13"/>
  <c r="G13"/>
  <c r="D12"/>
  <c r="E12"/>
  <c r="F12"/>
  <c r="G12"/>
  <c r="D11"/>
  <c r="F11"/>
  <c r="G11"/>
  <c r="H14" l="1"/>
  <c r="H15"/>
  <c r="E40" i="10"/>
  <c r="O36"/>
  <c r="F22" i="7" l="1"/>
  <c r="H21"/>
  <c r="F20"/>
  <c r="H19"/>
  <c r="F17"/>
  <c r="F13"/>
  <c r="F11"/>
  <c r="F10"/>
  <c r="M376" i="12" l="1"/>
  <c r="L376"/>
  <c r="K376"/>
  <c r="M312"/>
  <c r="L312"/>
  <c r="K312"/>
  <c r="M255"/>
  <c r="L255"/>
  <c r="K255"/>
  <c r="M197"/>
  <c r="L197"/>
  <c r="K197"/>
  <c r="M127"/>
  <c r="L127"/>
  <c r="K127"/>
  <c r="M57"/>
  <c r="L57"/>
  <c r="K57"/>
  <c r="P4" i="10"/>
  <c r="N13" i="4" l="1"/>
  <c r="A377" i="12"/>
  <c r="A313"/>
  <c r="G70" i="4" l="1"/>
  <c r="D7" i="8" l="1"/>
  <c r="G16" i="13" l="1"/>
  <c r="F16"/>
  <c r="E16"/>
  <c r="D16"/>
  <c r="F53" i="5" l="1"/>
  <c r="F52"/>
  <c r="F50"/>
  <c r="F49"/>
  <c r="F48"/>
  <c r="F47"/>
  <c r="F39"/>
  <c r="F38"/>
  <c r="F37"/>
  <c r="F36"/>
  <c r="F35"/>
  <c r="F33"/>
  <c r="F26"/>
  <c r="F25"/>
  <c r="F24"/>
  <c r="F23"/>
  <c r="F22"/>
  <c r="F21"/>
  <c r="F20"/>
  <c r="F19"/>
  <c r="F18"/>
  <c r="F17"/>
  <c r="F28" s="1"/>
  <c r="D27" i="10" s="1"/>
  <c r="F16" i="5"/>
  <c r="F15"/>
  <c r="F14"/>
  <c r="F13"/>
  <c r="F12"/>
  <c r="F11"/>
  <c r="F10"/>
  <c r="F9"/>
  <c r="F8"/>
  <c r="F7"/>
  <c r="F6"/>
  <c r="F23" i="7"/>
  <c r="H23" s="1"/>
  <c r="M36" i="4"/>
  <c r="O9"/>
  <c r="F31" i="5" l="1"/>
  <c r="F51"/>
  <c r="D30" i="10" l="1"/>
  <c r="P42" i="4" l="1"/>
  <c r="M42"/>
  <c r="Q41"/>
  <c r="R41"/>
  <c r="N42"/>
  <c r="P36"/>
  <c r="P38" s="1"/>
  <c r="M38"/>
  <c r="Q35"/>
  <c r="R35"/>
  <c r="O19"/>
  <c r="M19"/>
  <c r="Q18"/>
  <c r="P18"/>
  <c r="L18"/>
  <c r="L19" s="1"/>
  <c r="N17"/>
  <c r="N19" s="1"/>
  <c r="Q42" l="1"/>
  <c r="Q36"/>
  <c r="P19"/>
  <c r="O38"/>
  <c r="N38"/>
  <c r="Q38" s="1"/>
  <c r="O42"/>
  <c r="R42" s="1"/>
  <c r="L35"/>
  <c r="L36" s="1"/>
  <c r="L38" s="1"/>
  <c r="R36"/>
  <c r="Q19"/>
  <c r="R38" l="1"/>
  <c r="O15"/>
  <c r="M15"/>
  <c r="Q14"/>
  <c r="P14"/>
  <c r="L14"/>
  <c r="L15" s="1"/>
  <c r="N15"/>
  <c r="L31"/>
  <c r="L32" s="1"/>
  <c r="M32"/>
  <c r="P32"/>
  <c r="N22"/>
  <c r="P15" l="1"/>
  <c r="Q15"/>
  <c r="O32"/>
  <c r="N32"/>
  <c r="H22" i="7" l="1"/>
  <c r="H17"/>
  <c r="F16"/>
  <c r="H16" s="1"/>
  <c r="F15"/>
  <c r="H15" s="1"/>
  <c r="H13"/>
  <c r="F14"/>
  <c r="H10"/>
  <c r="F8"/>
  <c r="H8" s="1"/>
  <c r="C28" i="15" l="1"/>
  <c r="C28" i="14"/>
  <c r="D46" i="4" l="1"/>
  <c r="D13" i="10" s="1"/>
  <c r="E13" s="1"/>
  <c r="H11" l="1"/>
  <c r="T9" i="15" l="1"/>
  <c r="S9"/>
  <c r="R9"/>
  <c r="T8"/>
  <c r="S8"/>
  <c r="R8"/>
  <c r="S9" i="10"/>
  <c r="T8"/>
  <c r="R8"/>
  <c r="O8" i="14"/>
  <c r="T9"/>
  <c r="S9"/>
  <c r="R9"/>
  <c r="T8"/>
  <c r="S8"/>
  <c r="R8"/>
  <c r="T9" i="10"/>
  <c r="R9"/>
  <c r="S8"/>
  <c r="B52" i="4" l="1"/>
  <c r="B51"/>
  <c r="A4" i="13" l="1"/>
  <c r="O9" i="15"/>
  <c r="O8"/>
  <c r="O9" i="14"/>
  <c r="I21" i="7" l="1"/>
  <c r="F17" i="8"/>
  <c r="H17" s="1"/>
  <c r="C14" i="15"/>
  <c r="C14" i="14"/>
  <c r="N11" i="4"/>
  <c r="L10"/>
  <c r="L11" s="1"/>
  <c r="P10"/>
  <c r="Q10"/>
  <c r="M11"/>
  <c r="O11"/>
  <c r="N24"/>
  <c r="L24"/>
  <c r="Q23"/>
  <c r="R23"/>
  <c r="M24"/>
  <c r="O24"/>
  <c r="Q31"/>
  <c r="S34"/>
  <c r="S35" s="1"/>
  <c r="B35"/>
  <c r="D10" i="8"/>
  <c r="D9"/>
  <c r="D8"/>
  <c r="D6"/>
  <c r="D29" i="10" s="1"/>
  <c r="F26" i="7"/>
  <c r="H26" s="1"/>
  <c r="H20"/>
  <c r="H18"/>
  <c r="H14"/>
  <c r="F12"/>
  <c r="H12" s="1"/>
  <c r="H11"/>
  <c r="H9"/>
  <c r="H7"/>
  <c r="H6"/>
  <c r="H27" s="1"/>
  <c r="D25" i="10" s="1"/>
  <c r="I18" i="7" l="1"/>
  <c r="Q11" i="4"/>
  <c r="I9" i="7"/>
  <c r="I6"/>
  <c r="I12"/>
  <c r="F16" i="8"/>
  <c r="H16" s="1"/>
  <c r="Q24" i="4"/>
  <c r="R24"/>
  <c r="P11"/>
  <c r="R32" l="1"/>
  <c r="Q32"/>
  <c r="C86" l="1"/>
  <c r="F89"/>
  <c r="N44"/>
  <c r="G89" l="1"/>
  <c r="F20" i="8" l="1"/>
  <c r="H20" s="1"/>
  <c r="F19"/>
  <c r="H19" s="1"/>
  <c r="F18"/>
  <c r="H18" s="1"/>
  <c r="F40" i="5" l="1"/>
  <c r="D23" i="10" s="1"/>
  <c r="E31" l="1"/>
  <c r="D97" i="4" l="1"/>
  <c r="D96"/>
  <c r="D80"/>
  <c r="B80" s="1"/>
  <c r="D79"/>
  <c r="B79" s="1"/>
  <c r="G88" l="1"/>
  <c r="B97"/>
  <c r="D52"/>
  <c r="D16" i="10"/>
  <c r="E16" s="1"/>
  <c r="B96" i="4"/>
  <c r="D15" i="10"/>
  <c r="E15" s="1"/>
  <c r="A128" i="12"/>
  <c r="A198"/>
  <c r="J6" i="14"/>
  <c r="J6" i="15" s="1"/>
  <c r="K6" i="14"/>
  <c r="K6" i="15" s="1"/>
  <c r="L6" i="14"/>
  <c r="L6" i="15" s="1"/>
  <c r="M6" i="14"/>
  <c r="M6" i="15" s="1"/>
  <c r="N6" i="14"/>
  <c r="N6" i="15" s="1"/>
  <c r="O6" i="14"/>
  <c r="O6" i="15" s="1"/>
  <c r="I6" i="14"/>
  <c r="I6" i="15" s="1"/>
  <c r="A58" i="12" l="1"/>
  <c r="C6" i="14"/>
  <c r="C6" i="15" l="1"/>
  <c r="E4"/>
  <c r="E39" s="1"/>
  <c r="C41" s="1"/>
  <c r="H8"/>
  <c r="H9"/>
  <c r="E4" i="14"/>
  <c r="H8"/>
  <c r="H9"/>
  <c r="F26" i="6"/>
  <c r="E39" i="14" l="1"/>
  <c r="C41" s="1"/>
  <c r="F27" i="15"/>
  <c r="F26"/>
  <c r="F25"/>
  <c r="F24"/>
  <c r="F23"/>
  <c r="F22"/>
  <c r="F21"/>
  <c r="F20"/>
  <c r="F19"/>
  <c r="F18"/>
  <c r="F17"/>
  <c r="N17" s="1"/>
  <c r="F10"/>
  <c r="F27" i="14"/>
  <c r="F26"/>
  <c r="F25"/>
  <c r="F24"/>
  <c r="F23"/>
  <c r="F22"/>
  <c r="F21"/>
  <c r="F20"/>
  <c r="F19"/>
  <c r="F18"/>
  <c r="F17"/>
  <c r="N17" s="1"/>
  <c r="F10"/>
  <c r="A10" i="13"/>
  <c r="A11" s="1"/>
  <c r="A12" s="1"/>
  <c r="A13" s="1"/>
  <c r="H9"/>
  <c r="H16" s="1"/>
  <c r="M21" i="15" l="1"/>
  <c r="N21"/>
  <c r="M25"/>
  <c r="N25"/>
  <c r="M18"/>
  <c r="N18"/>
  <c r="M22"/>
  <c r="N22"/>
  <c r="M26"/>
  <c r="N26"/>
  <c r="M19"/>
  <c r="N19"/>
  <c r="M23"/>
  <c r="N23"/>
  <c r="M27"/>
  <c r="N27"/>
  <c r="M20"/>
  <c r="N20"/>
  <c r="M24"/>
  <c r="N24"/>
  <c r="M21" i="14"/>
  <c r="N21"/>
  <c r="M25"/>
  <c r="N25"/>
  <c r="M18"/>
  <c r="N18"/>
  <c r="M22"/>
  <c r="N22"/>
  <c r="M26"/>
  <c r="N26"/>
  <c r="M19"/>
  <c r="N19"/>
  <c r="M23"/>
  <c r="N23"/>
  <c r="M27"/>
  <c r="N27"/>
  <c r="M20"/>
  <c r="N20"/>
  <c r="M24"/>
  <c r="N24"/>
  <c r="K17" i="15"/>
  <c r="M17"/>
  <c r="K17" i="14"/>
  <c r="M17"/>
  <c r="L25" i="15"/>
  <c r="J25"/>
  <c r="I25"/>
  <c r="K25" s="1"/>
  <c r="O25"/>
  <c r="I17"/>
  <c r="L17"/>
  <c r="J17"/>
  <c r="O17"/>
  <c r="I19"/>
  <c r="K19" s="1"/>
  <c r="L19"/>
  <c r="J19"/>
  <c r="O19"/>
  <c r="I21"/>
  <c r="K21" s="1"/>
  <c r="L21"/>
  <c r="J21"/>
  <c r="O21"/>
  <c r="L23"/>
  <c r="J23"/>
  <c r="I23"/>
  <c r="K23" s="1"/>
  <c r="O23"/>
  <c r="L27"/>
  <c r="J27"/>
  <c r="I27"/>
  <c r="K27" s="1"/>
  <c r="O27"/>
  <c r="O10"/>
  <c r="O14" s="1"/>
  <c r="M10"/>
  <c r="M14" s="1"/>
  <c r="K10"/>
  <c r="K14" s="1"/>
  <c r="I10"/>
  <c r="I14" s="1"/>
  <c r="N10"/>
  <c r="N14" s="1"/>
  <c r="L10"/>
  <c r="L14" s="1"/>
  <c r="J10"/>
  <c r="J14" s="1"/>
  <c r="I18"/>
  <c r="K18" s="1"/>
  <c r="L18"/>
  <c r="J18"/>
  <c r="O18"/>
  <c r="I20"/>
  <c r="K20" s="1"/>
  <c r="L20"/>
  <c r="J20"/>
  <c r="O20"/>
  <c r="I22"/>
  <c r="K22" s="1"/>
  <c r="L22"/>
  <c r="J22"/>
  <c r="O22"/>
  <c r="L24"/>
  <c r="J24"/>
  <c r="I24"/>
  <c r="O24"/>
  <c r="L26"/>
  <c r="J26"/>
  <c r="I26"/>
  <c r="O26"/>
  <c r="O10" i="14"/>
  <c r="O14" s="1"/>
  <c r="M10"/>
  <c r="M14" s="1"/>
  <c r="K10"/>
  <c r="K14" s="1"/>
  <c r="I10"/>
  <c r="I14" s="1"/>
  <c r="N10"/>
  <c r="N14" s="1"/>
  <c r="L10"/>
  <c r="L14" s="1"/>
  <c r="J10"/>
  <c r="J14" s="1"/>
  <c r="I20"/>
  <c r="K20" s="1"/>
  <c r="L20"/>
  <c r="J20"/>
  <c r="O20"/>
  <c r="I22"/>
  <c r="K22" s="1"/>
  <c r="L22"/>
  <c r="J22"/>
  <c r="O22"/>
  <c r="L24"/>
  <c r="J24"/>
  <c r="I24"/>
  <c r="K24" s="1"/>
  <c r="O24"/>
  <c r="I17"/>
  <c r="L17"/>
  <c r="J17"/>
  <c r="O17"/>
  <c r="I19"/>
  <c r="K19" s="1"/>
  <c r="L19"/>
  <c r="J19"/>
  <c r="O19"/>
  <c r="I21"/>
  <c r="K21" s="1"/>
  <c r="L21"/>
  <c r="J21"/>
  <c r="O21"/>
  <c r="L23"/>
  <c r="J23"/>
  <c r="I23"/>
  <c r="K23" s="1"/>
  <c r="O23"/>
  <c r="L25"/>
  <c r="J25"/>
  <c r="I25"/>
  <c r="K25" s="1"/>
  <c r="O25"/>
  <c r="L27"/>
  <c r="J27"/>
  <c r="I27"/>
  <c r="K27" s="1"/>
  <c r="O27"/>
  <c r="I18"/>
  <c r="K18" s="1"/>
  <c r="L18"/>
  <c r="J18"/>
  <c r="O18"/>
  <c r="L26"/>
  <c r="J26"/>
  <c r="I26"/>
  <c r="K26" s="1"/>
  <c r="O26"/>
  <c r="K26" i="15" l="1"/>
  <c r="H26" s="1"/>
  <c r="G26" s="1"/>
  <c r="K24"/>
  <c r="H24" s="1"/>
  <c r="G24" s="1"/>
  <c r="H20"/>
  <c r="G20" s="1"/>
  <c r="H26" i="14"/>
  <c r="G26" s="1"/>
  <c r="H27"/>
  <c r="G27" s="1"/>
  <c r="H25"/>
  <c r="G25" s="1"/>
  <c r="H23"/>
  <c r="G23" s="1"/>
  <c r="H24"/>
  <c r="G24" s="1"/>
  <c r="H21"/>
  <c r="G21" s="1"/>
  <c r="H22" i="15"/>
  <c r="G22" s="1"/>
  <c r="H27"/>
  <c r="G27" s="1"/>
  <c r="H23"/>
  <c r="G23" s="1"/>
  <c r="H21"/>
  <c r="G21" s="1"/>
  <c r="H19"/>
  <c r="G19" s="1"/>
  <c r="H17"/>
  <c r="G17" s="1"/>
  <c r="H25"/>
  <c r="G25" s="1"/>
  <c r="H14"/>
  <c r="G14" s="1"/>
  <c r="H18"/>
  <c r="G18" s="1"/>
  <c r="H18" i="14"/>
  <c r="G18" s="1"/>
  <c r="H19"/>
  <c r="G19" s="1"/>
  <c r="H17"/>
  <c r="G17" s="1"/>
  <c r="H14"/>
  <c r="G14" s="1"/>
  <c r="I15" s="1"/>
  <c r="H22"/>
  <c r="G22" s="1"/>
  <c r="H20"/>
  <c r="G20" s="1"/>
  <c r="N15" i="15" l="1"/>
  <c r="N16" s="1"/>
  <c r="N28" s="1"/>
  <c r="L15"/>
  <c r="L16" s="1"/>
  <c r="L28" s="1"/>
  <c r="J15"/>
  <c r="J16" s="1"/>
  <c r="J28" s="1"/>
  <c r="O15"/>
  <c r="O16" s="1"/>
  <c r="O28" s="1"/>
  <c r="O29" s="1"/>
  <c r="M15"/>
  <c r="M16" s="1"/>
  <c r="M28" s="1"/>
  <c r="M29" s="1"/>
  <c r="K15"/>
  <c r="K16" s="1"/>
  <c r="K28" s="1"/>
  <c r="I15"/>
  <c r="I16" s="1"/>
  <c r="N15" i="14"/>
  <c r="N16" s="1"/>
  <c r="N28" s="1"/>
  <c r="L15"/>
  <c r="L16" s="1"/>
  <c r="L28" s="1"/>
  <c r="J15"/>
  <c r="J16" s="1"/>
  <c r="J28" s="1"/>
  <c r="O15"/>
  <c r="O16" s="1"/>
  <c r="O28" s="1"/>
  <c r="O29" s="1"/>
  <c r="M15"/>
  <c r="M16" s="1"/>
  <c r="M28" s="1"/>
  <c r="K15"/>
  <c r="K16" s="1"/>
  <c r="K28" s="1"/>
  <c r="I16"/>
  <c r="M29" l="1"/>
  <c r="K29" i="15"/>
  <c r="K29" i="14"/>
  <c r="I28" i="15"/>
  <c r="I29" s="1"/>
  <c r="H16"/>
  <c r="G16" s="1"/>
  <c r="I28" i="14"/>
  <c r="I29" s="1"/>
  <c r="H16"/>
  <c r="F34" i="7"/>
  <c r="I32" i="15" l="1"/>
  <c r="I32" i="14"/>
  <c r="H28" i="15"/>
  <c r="G28"/>
  <c r="H28" i="14"/>
  <c r="G16"/>
  <c r="G28" s="1"/>
  <c r="D11" i="8"/>
  <c r="M55" i="4" l="1"/>
  <c r="F27" i="5" l="1"/>
  <c r="E24" i="10"/>
  <c r="F6" i="6"/>
  <c r="F8"/>
  <c r="F9"/>
  <c r="F11"/>
  <c r="F12"/>
  <c r="F27"/>
  <c r="F28"/>
  <c r="F36"/>
  <c r="F37"/>
  <c r="F43"/>
  <c r="F44"/>
  <c r="F45"/>
  <c r="F41" i="5"/>
  <c r="F70"/>
  <c r="A6" i="4"/>
  <c r="A7"/>
  <c r="F8"/>
  <c r="G8" s="1"/>
  <c r="B6"/>
  <c r="C6"/>
  <c r="A68"/>
  <c r="B7"/>
  <c r="C7"/>
  <c r="E21"/>
  <c r="D22"/>
  <c r="D23"/>
  <c r="E23" s="1"/>
  <c r="D24"/>
  <c r="E24" s="1"/>
  <c r="A84"/>
  <c r="A85"/>
  <c r="A34"/>
  <c r="A35"/>
  <c r="F37"/>
  <c r="G37" s="1"/>
  <c r="A87"/>
  <c r="F87" s="1"/>
  <c r="G87" s="1"/>
  <c r="N47"/>
  <c r="L45"/>
  <c r="L47" s="1"/>
  <c r="M47"/>
  <c r="A88" s="1"/>
  <c r="O47"/>
  <c r="P47"/>
  <c r="D47"/>
  <c r="D14" i="10" s="1"/>
  <c r="D75" i="4"/>
  <c r="E21" i="10" s="1"/>
  <c r="C88" i="4"/>
  <c r="C34"/>
  <c r="E26" i="10"/>
  <c r="F36" i="4" l="1"/>
  <c r="G36" s="1"/>
  <c r="F35"/>
  <c r="G35" s="1"/>
  <c r="E32" i="10"/>
  <c r="E14"/>
  <c r="A86" i="4"/>
  <c r="B34"/>
  <c r="F34" s="1"/>
  <c r="G34" s="1"/>
  <c r="B85"/>
  <c r="B86" s="1"/>
  <c r="B84"/>
  <c r="C84"/>
  <c r="F7"/>
  <c r="G7" s="1"/>
  <c r="F29" i="6"/>
  <c r="F10"/>
  <c r="E22" i="4"/>
  <c r="E25" s="1"/>
  <c r="D25"/>
  <c r="C68"/>
  <c r="B68"/>
  <c r="F6"/>
  <c r="G6" s="1"/>
  <c r="F72" l="1"/>
  <c r="D20" i="10" s="1"/>
  <c r="F86" i="4"/>
  <c r="G86" s="1"/>
  <c r="G33"/>
  <c r="G38" s="1"/>
  <c r="E27" i="10"/>
  <c r="F84" i="4"/>
  <c r="G84" s="1"/>
  <c r="H33"/>
  <c r="E23" i="10"/>
  <c r="G9" i="4"/>
  <c r="C85"/>
  <c r="F85" s="1"/>
  <c r="G85" s="1"/>
  <c r="E29" i="10"/>
  <c r="E28"/>
  <c r="F9" i="4"/>
  <c r="E30" i="10"/>
  <c r="G68" i="4" l="1"/>
  <c r="G72" s="1"/>
  <c r="D22" i="10" s="1"/>
  <c r="F38" i="4"/>
  <c r="G90"/>
  <c r="D8" i="10" s="1"/>
  <c r="H34" i="4"/>
  <c r="I33" s="1"/>
  <c r="F90"/>
  <c r="D7" i="10" s="1"/>
  <c r="E25"/>
  <c r="F91" i="4" l="1"/>
  <c r="G91"/>
  <c r="G92" s="1"/>
  <c r="E8" i="10"/>
  <c r="E22"/>
  <c r="E20"/>
  <c r="E7" l="1"/>
  <c r="D44" i="4" l="1"/>
  <c r="D45"/>
  <c r="D9" i="10" l="1"/>
  <c r="B44" i="4"/>
  <c r="E9" i="10"/>
  <c r="D12"/>
  <c r="E12" s="1"/>
  <c r="F10" l="1"/>
  <c r="O9"/>
  <c r="H9" s="1"/>
  <c r="C43" i="4" l="1"/>
  <c r="C45"/>
  <c r="C44"/>
  <c r="F29" i="10"/>
  <c r="C41"/>
  <c r="C46" i="4"/>
  <c r="O8" i="10"/>
  <c r="H8" s="1"/>
  <c r="F23"/>
  <c r="F24"/>
  <c r="F25"/>
  <c r="C47" i="4"/>
  <c r="B47" s="1"/>
  <c r="F27" i="10"/>
  <c r="F21"/>
  <c r="F20"/>
  <c r="F22"/>
  <c r="F28"/>
  <c r="F30"/>
  <c r="F32"/>
  <c r="F31"/>
  <c r="F26"/>
  <c r="N20" l="1"/>
  <c r="I20"/>
  <c r="J32"/>
  <c r="N32"/>
  <c r="J26"/>
  <c r="N26"/>
  <c r="J30"/>
  <c r="N30"/>
  <c r="J25"/>
  <c r="N25"/>
  <c r="J31"/>
  <c r="N31"/>
  <c r="J28"/>
  <c r="N28"/>
  <c r="J24"/>
  <c r="N24"/>
  <c r="J22"/>
  <c r="N22"/>
  <c r="J21"/>
  <c r="N21"/>
  <c r="J23"/>
  <c r="N23"/>
  <c r="J29"/>
  <c r="N29"/>
  <c r="J27"/>
  <c r="N27"/>
  <c r="I29"/>
  <c r="K29" s="1"/>
  <c r="O29"/>
  <c r="L20"/>
  <c r="J20"/>
  <c r="M30"/>
  <c r="L30"/>
  <c r="M24"/>
  <c r="L24"/>
  <c r="M28"/>
  <c r="L28"/>
  <c r="M27"/>
  <c r="L27"/>
  <c r="M23"/>
  <c r="L23"/>
  <c r="M21"/>
  <c r="L21"/>
  <c r="M26"/>
  <c r="L26"/>
  <c r="M22"/>
  <c r="L22"/>
  <c r="M31"/>
  <c r="L31"/>
  <c r="M32"/>
  <c r="L32"/>
  <c r="M25"/>
  <c r="L25"/>
  <c r="M29"/>
  <c r="L29"/>
  <c r="B45" i="4"/>
  <c r="B46"/>
  <c r="K20" i="10"/>
  <c r="M20"/>
  <c r="O31"/>
  <c r="I31"/>
  <c r="K31" s="1"/>
  <c r="O30"/>
  <c r="I30"/>
  <c r="K30" s="1"/>
  <c r="O20"/>
  <c r="O25"/>
  <c r="I25"/>
  <c r="K25" s="1"/>
  <c r="O26"/>
  <c r="I26"/>
  <c r="K26" s="1"/>
  <c r="O28"/>
  <c r="I28"/>
  <c r="K28" s="1"/>
  <c r="O21"/>
  <c r="I21"/>
  <c r="K21" s="1"/>
  <c r="O24"/>
  <c r="I24"/>
  <c r="K24" s="1"/>
  <c r="O32"/>
  <c r="I32"/>
  <c r="K32" s="1"/>
  <c r="O22"/>
  <c r="I22"/>
  <c r="K22" s="1"/>
  <c r="O27"/>
  <c r="I27"/>
  <c r="K27" s="1"/>
  <c r="O23"/>
  <c r="I23"/>
  <c r="K23" s="1"/>
  <c r="H29" l="1"/>
  <c r="G29" s="1"/>
  <c r="H26"/>
  <c r="G26" s="1"/>
  <c r="H27"/>
  <c r="G27" s="1"/>
  <c r="H32"/>
  <c r="G32" s="1"/>
  <c r="H25"/>
  <c r="G25" s="1"/>
  <c r="H24"/>
  <c r="G24" s="1"/>
  <c r="H21"/>
  <c r="G21" s="1"/>
  <c r="H23"/>
  <c r="G23" s="1"/>
  <c r="H22"/>
  <c r="G22" s="1"/>
  <c r="H28"/>
  <c r="G28" s="1"/>
  <c r="H20"/>
  <c r="G20" s="1"/>
  <c r="H30"/>
  <c r="G30" s="1"/>
  <c r="H31"/>
  <c r="G31" s="1"/>
  <c r="D42" i="4" l="1"/>
  <c r="O10" i="10"/>
  <c r="O17" s="1"/>
  <c r="D43" i="4"/>
  <c r="B43" l="1"/>
  <c r="D10" i="10"/>
  <c r="C42" i="4"/>
  <c r="D11" i="10"/>
  <c r="N10"/>
  <c r="N17" s="1"/>
  <c r="J10"/>
  <c r="J17" s="1"/>
  <c r="I10"/>
  <c r="I17" s="1"/>
  <c r="L10"/>
  <c r="L17" s="1"/>
  <c r="K10"/>
  <c r="M10"/>
  <c r="M17" s="1"/>
  <c r="C17"/>
  <c r="I7" s="1"/>
  <c r="I36" l="1"/>
  <c r="C6"/>
  <c r="C9" i="13" s="1"/>
  <c r="N7" i="10"/>
  <c r="J7"/>
  <c r="M7"/>
  <c r="L7"/>
  <c r="K7"/>
  <c r="E10"/>
  <c r="D17"/>
  <c r="D6" s="1"/>
  <c r="E11"/>
  <c r="E17" s="1"/>
  <c r="E6" s="1"/>
  <c r="H10"/>
  <c r="K17"/>
  <c r="C13" i="13" l="1"/>
  <c r="C12"/>
  <c r="C11"/>
  <c r="C15"/>
  <c r="C14"/>
  <c r="H7" i="10"/>
  <c r="C40"/>
  <c r="C42" s="1"/>
  <c r="H17"/>
  <c r="C10" i="13" l="1"/>
  <c r="G17" i="10"/>
  <c r="K18" s="1"/>
  <c r="K19" s="1"/>
  <c r="K33" s="1"/>
  <c r="J18" l="1"/>
  <c r="J19" s="1"/>
  <c r="J33" s="1"/>
  <c r="O18"/>
  <c r="O19" s="1"/>
  <c r="M18"/>
  <c r="M19" s="1"/>
  <c r="M33" s="1"/>
  <c r="N18"/>
  <c r="N19" s="1"/>
  <c r="N33" s="1"/>
  <c r="L18"/>
  <c r="L19" s="1"/>
  <c r="L33" s="1"/>
  <c r="K34" s="1"/>
  <c r="I18"/>
  <c r="I19" s="1"/>
  <c r="O33"/>
  <c r="O34" s="1"/>
  <c r="M34" l="1"/>
  <c r="I33"/>
  <c r="I34" s="1"/>
  <c r="H19"/>
  <c r="H33" s="1"/>
  <c r="G19" l="1"/>
  <c r="G33" s="1"/>
  <c r="H12" i="13"/>
  <c r="H13" l="1"/>
  <c r="F10" l="1"/>
  <c r="H11"/>
  <c r="D10"/>
  <c r="E10"/>
  <c r="G10"/>
  <c r="H10" l="1"/>
</calcChain>
</file>

<file path=xl/sharedStrings.xml><?xml version="1.0" encoding="utf-8"?>
<sst xmlns="http://schemas.openxmlformats.org/spreadsheetml/2006/main" count="1182" uniqueCount="352">
  <si>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</si>
  <si>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</si>
  <si>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по ОКВЭД</t>
  </si>
  <si>
    <t>Форма по ОКУД</t>
  </si>
  <si>
    <t>0506001</t>
  </si>
  <si>
    <t>Коды</t>
  </si>
  <si>
    <t>УТВЕРЖДАЮ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</si>
  <si>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</si>
  <si>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</si>
  <si>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</si>
  <si>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</si>
  <si>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</si>
  <si>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</si>
  <si>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</si>
  <si>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</si>
  <si>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</si>
  <si>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</si>
  <si>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</t>
  </si>
  <si>
    <t>Показатель объема муниципальной услуги</t>
  </si>
  <si>
    <t>Значение показателя объема муниципальной услуги</t>
  </si>
  <si>
    <t>3.2. Показатели, характеризующие объем муниципальной услуги: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</si>
  <si>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</si>
  <si>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</si>
  <si>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</si>
  <si>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</si>
  <si>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</si>
  <si>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</si>
  <si>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</si>
  <si>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</si>
  <si>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5.2. Порядок 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</si>
  <si>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</si>
  <si>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</si>
  <si>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</si>
  <si>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</si>
  <si>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</si>
  <si>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</si>
  <si>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</si>
  <si>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</si>
  <si>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</si>
  <si>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</si>
  <si>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начального общего образования</t>
  </si>
  <si>
    <t xml:space="preserve">Реализация основных общеобразовательных программ </t>
  </si>
  <si>
    <t>физические лица</t>
  </si>
  <si>
    <t>очная</t>
  </si>
  <si>
    <t>Очно-заочная</t>
  </si>
  <si>
    <t>Число обучающихся</t>
  </si>
  <si>
    <t>человек</t>
  </si>
  <si>
    <t>Образование и наука</t>
  </si>
  <si>
    <t>Удельный вес учащихся, освоивших программы начального общего, основного общего, среднего общего образования по результатам промежуточной аттестации</t>
  </si>
  <si>
    <t>Процент</t>
  </si>
  <si>
    <t>основного общего образования</t>
  </si>
  <si>
    <t>среднего общего образования</t>
  </si>
  <si>
    <t>Физические лица с ограниченными возможностями здоровья и дети-инвалиды</t>
  </si>
  <si>
    <t>итого</t>
  </si>
  <si>
    <t>начисления на оплату труда</t>
  </si>
  <si>
    <t>норматив</t>
  </si>
  <si>
    <t>k увеличения</t>
  </si>
  <si>
    <t>количество месяцев</t>
  </si>
  <si>
    <t>k стимулирования</t>
  </si>
  <si>
    <t>Оклад с учетом k специфики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</si>
  <si>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</si>
  <si>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</si>
  <si>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 xml:space="preserve"> </t>
  </si>
  <si>
    <t>расходы на на получение компенсационных выплат по уходу за ребенком</t>
  </si>
  <si>
    <t>количество работников, имеющих право на получение компенсационных выплат по уходу за ребенком</t>
  </si>
  <si>
    <t>норматив на а компенсационные выплаты по уходу за ребенком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</si>
  <si>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</si>
  <si>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Расчет норматива затрат ,непосредственно  не связанных с оказанием муниципальной услуги</t>
  </si>
  <si>
    <t>приложение 2</t>
  </si>
  <si>
    <t>прочие</t>
  </si>
  <si>
    <t>учителя</t>
  </si>
  <si>
    <t>всего</t>
  </si>
  <si>
    <t xml:space="preserve">Расходы  </t>
  </si>
  <si>
    <t xml:space="preserve">кол-во </t>
  </si>
  <si>
    <t xml:space="preserve">Норматив  </t>
  </si>
  <si>
    <t>КОСГУ</t>
  </si>
  <si>
    <t>Норматив   на   приобретение   материальных   запасов, потребляемых в процессе оказания муниципальной услуги ( за счет бюджета Пензенской области) .</t>
  </si>
  <si>
    <t>кол-во месяцев</t>
  </si>
  <si>
    <t>кол-во ставок учителей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</si>
  <si>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</si>
  <si>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доведение на оклады</t>
  </si>
  <si>
    <t>стимуляция</t>
  </si>
  <si>
    <t>без стимуляции</t>
  </si>
  <si>
    <t>ставки</t>
  </si>
  <si>
    <t>ФЗП в мес</t>
  </si>
  <si>
    <t>субвенция</t>
  </si>
  <si>
    <t>Средняя ставка на класс</t>
  </si>
  <si>
    <t>кол-во классных руководителей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</si>
  <si>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</si>
  <si>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 xml:space="preserve">количество </t>
  </si>
  <si>
    <t xml:space="preserve">Норматив   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</si>
  <si>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</si>
  <si>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>местный</t>
  </si>
  <si>
    <t>таблица для расчета заработной платы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</si>
  <si>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</si>
  <si>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>Расчет норматива затрат, непосредственно связанных с оказанием муниципальной услуги</t>
  </si>
  <si>
    <t>приложение 1</t>
  </si>
  <si>
    <t>Знаки ГТО</t>
  </si>
  <si>
    <t>запасные части</t>
  </si>
  <si>
    <t xml:space="preserve">нормативные затраты </t>
  </si>
  <si>
    <t>количество ед. услуг</t>
  </si>
  <si>
    <t>стоимость</t>
  </si>
  <si>
    <t>Прочие нормативные затраты на общехозяйственные нужды</t>
  </si>
  <si>
    <t xml:space="preserve">приобретение транспортных услуг </t>
  </si>
  <si>
    <t xml:space="preserve">Нормативные затраты на приобретение услуг связи и приобретение транспортных услуг </t>
  </si>
  <si>
    <t>Тех.обслуживание средств радиомодема прямой связи</t>
  </si>
  <si>
    <t>Утилизация ртутосодержащих отходов</t>
  </si>
  <si>
    <t>Тревожная кнопка</t>
  </si>
  <si>
    <t>поверка ремонт теплосчетчиков</t>
  </si>
  <si>
    <t>дератизация</t>
  </si>
  <si>
    <t xml:space="preserve">Нормативные затраты на содержание недвижимого имущества </t>
  </si>
  <si>
    <t>приложение 3</t>
  </si>
  <si>
    <t xml:space="preserve"> Прочие нормативные затраты на содержание  движимого имущества</t>
  </si>
  <si>
    <t>Автострахование</t>
  </si>
  <si>
    <t>нормативные затраты на коммунальные услуги</t>
  </si>
  <si>
    <t>объем потребления</t>
  </si>
  <si>
    <t>тариф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</si>
  <si>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</si>
  <si>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Зап.части</t>
  </si>
  <si>
    <t>ГСМ</t>
  </si>
  <si>
    <t>Нормативные затраты на материальные запасы</t>
  </si>
  <si>
    <t>итого затрат</t>
  </si>
  <si>
    <t>тех.обслуживание пожарной сигнализации</t>
  </si>
  <si>
    <t>Текущий ремонт</t>
  </si>
  <si>
    <t>Тех.обслуживание</t>
  </si>
  <si>
    <t xml:space="preserve">Нормативные затраты на содержание движимого имущества </t>
  </si>
  <si>
    <t>приложение 4</t>
  </si>
  <si>
    <t>м3</t>
  </si>
  <si>
    <t>вывоз жидких бытовых отходов и объемов жидких бытовых отходов</t>
  </si>
  <si>
    <t>кВат</t>
  </si>
  <si>
    <t>электрическая энергия</t>
  </si>
  <si>
    <t>гКал</t>
  </si>
  <si>
    <t>тепловая  энергия</t>
  </si>
  <si>
    <t>горячее водоснабжение</t>
  </si>
  <si>
    <t>водоотведение</t>
  </si>
  <si>
    <t>холодное водоснабжение</t>
  </si>
  <si>
    <t>нормативные затраты на коммунальные услуги с учетом увеличения</t>
  </si>
  <si>
    <t>тариф (руб.)</t>
  </si>
  <si>
    <t>ед.измерения</t>
  </si>
  <si>
    <t>Нормативные затраты на коммунальные услуги</t>
  </si>
  <si>
    <t>Налог на имущество</t>
  </si>
  <si>
    <t>Нормативные затраты на уплату налогов</t>
  </si>
  <si>
    <t>приложение 6</t>
  </si>
  <si>
    <t>001</t>
  </si>
  <si>
    <t>отклонение</t>
  </si>
  <si>
    <t>смета</t>
  </si>
  <si>
    <t>ВР</t>
  </si>
  <si>
    <t>Проверка</t>
  </si>
  <si>
    <t>СРЕДНЕЕ</t>
  </si>
  <si>
    <t>СТАРШЕЕ</t>
  </si>
  <si>
    <t>НОРМАТИВ</t>
  </si>
  <si>
    <t>НАЧАЛ</t>
  </si>
  <si>
    <t>Директор МБОУ "СОШ №      г.Пензы"____________</t>
  </si>
  <si>
    <t>Гл.бухгалтер _____________</t>
  </si>
  <si>
    <t>ОСН</t>
  </si>
  <si>
    <t>ДОВЕД</t>
  </si>
  <si>
    <t>ОДАР</t>
  </si>
  <si>
    <t>КОЛ-ВО ОДАР</t>
  </si>
  <si>
    <t>пов. квалиф.</t>
  </si>
  <si>
    <t>коректировка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</si>
  <si>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</si>
  <si>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</si>
  <si>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</si>
  <si>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Реализация адаптированных основных общеобразовательных программ </t>
  </si>
  <si>
    <t>Реализация адаптированных основных общеобразовательных программ начального общего образования</t>
  </si>
  <si>
    <t>ТО видеонаблюдения</t>
  </si>
  <si>
    <t>5.2. Порядок информирования потенциальных потребителей муниципальной услуги:</t>
  </si>
  <si>
    <t>не менее 99%</t>
  </si>
  <si>
    <t>Приказ</t>
  </si>
  <si>
    <t>Управление образования города Пензы</t>
  </si>
  <si>
    <r>
      <rPr>
        <u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>Ю.А.Голодяев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</si>
  <si>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1     .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</si>
  <si>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2     .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</si>
  <si>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3     .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</si>
  <si>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4     .</t>
    </r>
  </si>
  <si>
    <t>на официальном сайте учреждения</t>
  </si>
  <si>
    <t>3. Порядок контроля за выполнением муниципального задания</t>
  </si>
  <si>
    <t>флюорография</t>
  </si>
  <si>
    <t>возмещение коммунальных услуг</t>
  </si>
  <si>
    <t>Транспортный налог</t>
  </si>
  <si>
    <t>Налогооблагаемая база</t>
  </si>
  <si>
    <t>Ставка налога</t>
  </si>
  <si>
    <t>Наименование налога</t>
  </si>
  <si>
    <t>Земельный налог</t>
  </si>
  <si>
    <t>приложение 5</t>
  </si>
  <si>
    <t>Тех.обслуживание ТС</t>
  </si>
  <si>
    <t>Дератизация</t>
  </si>
  <si>
    <t xml:space="preserve">Тех.обслуживание средств АПС </t>
  </si>
  <si>
    <t>Промывка, опрессовка</t>
  </si>
  <si>
    <t>Техн. обслуживание теплосчетчиков</t>
  </si>
  <si>
    <t>Приобретение услуг связи (абонентская плата)</t>
  </si>
  <si>
    <t>Экологический сбор</t>
  </si>
  <si>
    <t>Госпошлина</t>
  </si>
  <si>
    <t>ОТЧЕТ</t>
  </si>
  <si>
    <t xml:space="preserve">об использовании субсидии </t>
  </si>
  <si>
    <t>№ п/п</t>
  </si>
  <si>
    <t>Наименование расходов</t>
  </si>
  <si>
    <t>Поступило</t>
  </si>
  <si>
    <t>Израсходовано</t>
  </si>
  <si>
    <t>Остаток на отчетную дату</t>
  </si>
  <si>
    <t>Причина  образования остатка</t>
  </si>
  <si>
    <t>с начала года (нарастающим итогом)</t>
  </si>
  <si>
    <t>в том числе за отчетный период</t>
  </si>
  <si>
    <t>Реализация основных общеобразовательных программ всего, в том числе:</t>
  </si>
  <si>
    <t>для коррекции (только 1 класс)</t>
  </si>
  <si>
    <t xml:space="preserve">обычные </t>
  </si>
  <si>
    <t>Электронная отчетность, ЭЦП</t>
  </si>
  <si>
    <t>K нормативных затрат на коммунальные услуги</t>
  </si>
  <si>
    <t xml:space="preserve"> затраты на коммунальные услуги с учетом увеличения</t>
  </si>
  <si>
    <t>K ормативных затрат на содержание имущества</t>
  </si>
  <si>
    <t>1 раз в год</t>
  </si>
  <si>
    <t xml:space="preserve">Гл.бухгалтер МБОУ 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</si>
  <si>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</si>
  <si>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г.Пензы) .</t>
  </si>
  <si>
    <t>226(119)</t>
  </si>
  <si>
    <t>340(119)</t>
  </si>
  <si>
    <t>возмещение на СИЗы с травматизма</t>
  </si>
  <si>
    <t>Поверка и ремонт теплосчетчиков, электросчетчиков</t>
  </si>
  <si>
    <t>Обслуживание тревожной кнопки</t>
  </si>
  <si>
    <t>поминутная оплата</t>
  </si>
  <si>
    <t>маммография</t>
  </si>
  <si>
    <t>женщины</t>
  </si>
  <si>
    <t>мужчины</t>
  </si>
  <si>
    <t>в процентах</t>
  </si>
  <si>
    <t>в абсолютных величинах</t>
  </si>
  <si>
    <t>Органы местного мамоуправления, осуществляющие контроль за выполнением муниципального задания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</si>
  <si>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</si>
  <si>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 xml:space="preserve"> не позднее 1 февраля финансового года, следующего за отчетным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</si>
  <si>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</si>
  <si>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</si>
  <si>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</si>
  <si>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 соответствии с планом Управления образования</t>
  </si>
  <si>
    <t>Выездная проверка</t>
  </si>
  <si>
    <t>Федеральный закон от 29.12.2012 № 273-ФЗ (с изменениями и дополнениями) «Об образовании в Российской Федерации»; Федеральный закон от 06.10.2003 №131-ФЗ (с изменениями и дополнениями)"Об общих принципах организации местного самоуправления в Российской Федерации"; приказ  Министерства  образования  и  науки  РФ  от 30.08.2013 №1015 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начального общего,основного общего и среднего общего образования";
постановление Главного государственного санитарного врача Российской Федерации от 29.12.2010 №189  «Об утверждении СанПиН 2.4.2.2821-10 
«Санитарно-эпидемиологические требования к условиям и организации обучения в общеобразовательных учреждениях"(с изменениями и дополнениями)</t>
  </si>
  <si>
    <t>Задание может быть досрочно прекращено (полностью или частично) в случаях:
- реорганизации или ликвидации муниципального бюджетного  общеобразовательного учреждения;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</si>
  <si>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>4.2.1. Сроки представления предварительного отчета о выполнении муниципального задания           до 01 ноября текущего года</t>
  </si>
  <si>
    <t>3.1. Показатели, характеризующие качество муниципальной услуги &lt;3&gt;:</t>
  </si>
  <si>
    <r>
      <t xml:space="preserve">Допустимые(возможные) отклонения от установленны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</si>
  <si>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 xml:space="preserve">единица измерения </t>
  </si>
  <si>
    <t>единица измерения</t>
  </si>
  <si>
    <t>Огнезащитная обработка</t>
  </si>
  <si>
    <t>Закон Пензенской области</t>
  </si>
  <si>
    <t>Законодательное собрание Пензенской области</t>
  </si>
  <si>
    <t>340-353</t>
  </si>
  <si>
    <t>340 - 353</t>
  </si>
  <si>
    <t>310 учеб</t>
  </si>
  <si>
    <t>проверка</t>
  </si>
  <si>
    <t>коэффициент</t>
  </si>
  <si>
    <t>объем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</si>
  <si>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</si>
  <si>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</si>
  <si>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</si>
  <si>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</si>
  <si>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</si>
  <si>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</si>
  <si>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</si>
  <si>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85.12</t>
  </si>
  <si>
    <t>85.13</t>
  </si>
  <si>
    <t>85.14</t>
  </si>
  <si>
    <t>Директор МБОУ 47</t>
  </si>
  <si>
    <t>Н.К. Шумилина</t>
  </si>
  <si>
    <t>Л.Н. Шайдрова</t>
  </si>
  <si>
    <t>хозяйственные расходы</t>
  </si>
  <si>
    <t>Хозяйственные материалы</t>
  </si>
  <si>
    <t>801012О.99.0.БА81БА80000</t>
  </si>
  <si>
    <t>802111О.99.0.БА96АЧ08001</t>
  </si>
  <si>
    <t>802112О.99.0.ББ11АЧ08001</t>
  </si>
  <si>
    <t>Оценка качества огнезащит. обработки</t>
  </si>
  <si>
    <t>ТО домофона</t>
  </si>
  <si>
    <t>Испытание изоляции электропроводки</t>
  </si>
  <si>
    <t>Поверка средств измерений</t>
  </si>
  <si>
    <t>Сервисное обслуживание оборудования столовой</t>
  </si>
  <si>
    <t>Поминутная оплата</t>
  </si>
  <si>
    <t>Услуги интернета</t>
  </si>
  <si>
    <t>Неисключительные права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</si>
  <si>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</si>
  <si>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</si>
  <si>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</si>
  <si>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</si>
  <si>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</si>
  <si>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t>Х</t>
  </si>
  <si>
    <t>не менее 90%</t>
  </si>
  <si>
    <t xml:space="preserve"> -  доля родителей</t>
  </si>
  <si>
    <t>12105Z1053</t>
  </si>
  <si>
    <t>БА81</t>
  </si>
  <si>
    <t>БА96</t>
  </si>
  <si>
    <t>ББ11</t>
  </si>
  <si>
    <t>БА82</t>
  </si>
  <si>
    <t>801012О.99.0.БА82АА00001</t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</si>
  <si>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   6  .</t>
    </r>
  </si>
  <si>
    <t>802111О.99.0.БА96АА00001</t>
  </si>
  <si>
    <t>802112О.99.0.ББ11АА00001</t>
  </si>
  <si>
    <t>адаптиров</t>
  </si>
  <si>
    <t>фок чел/часы</t>
  </si>
  <si>
    <t>курсы 226</t>
  </si>
  <si>
    <t>местные, z1053,71053</t>
  </si>
  <si>
    <t>проверка 2020</t>
  </si>
  <si>
    <t>проверка 2021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</si>
  <si>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</si>
  <si>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</si>
  <si>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3332-ЗПО</t>
  </si>
  <si>
    <t>основное</t>
  </si>
  <si>
    <t>среднее</t>
  </si>
  <si>
    <t>начальное</t>
  </si>
  <si>
    <t>Вывоз мусора</t>
  </si>
  <si>
    <t>Реализация адаптированных основных общеобразовательных программ основного общего образования</t>
  </si>
  <si>
    <t>отклонение местный</t>
  </si>
  <si>
    <t>отклонение субвенция</t>
  </si>
  <si>
    <t xml:space="preserve"> -  доля обучающихся</t>
  </si>
  <si>
    <t>Доля детей, родителей(законных представителей), удовлетворенных качеством организации общего образования</t>
  </si>
  <si>
    <t xml:space="preserve">Показатель, характеризующий содержание муниципальной услуги </t>
  </si>
  <si>
    <t>Наименование показателя 4</t>
  </si>
  <si>
    <t>Дата начала действия</t>
  </si>
  <si>
    <t>Дата окончания действия &lt;1&gt;</t>
  </si>
  <si>
    <t>Часть 1. Сведения об оказываемых муниципальных услугах &lt;2&gt;</t>
  </si>
  <si>
    <t>Код по общероссийскому базовому перечню или региональному перечню</t>
  </si>
  <si>
    <r>
      <t xml:space="preserve">Допустимые(возможные) отклонения от установленных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</si>
  <si>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>Показатель, характеризующий условия (формы) оказания муниципальной услуги 4</t>
  </si>
  <si>
    <t xml:space="preserve">Показатель, характеризующий условия (формы) оказания муниципальной услуги </t>
  </si>
  <si>
    <t>Размер платы (цена, тариф) 7</t>
  </si>
  <si>
    <t>Допустимые отклонения от установленных показателей объема муниципальной услуги 6</t>
  </si>
  <si>
    <t xml:space="preserve">Показатель, характеризующий содержание муниципальной услуги 4 </t>
  </si>
  <si>
    <t>наименование 4</t>
  </si>
  <si>
    <t>1. Основание (условия и порядок) для досрочного прекращения выполнения муниципального задания</t>
  </si>
  <si>
    <t>5. Иные показатели, связанные с выполнением муниципального задания &lt;9&gt;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</si>
  <si>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частей 1 и 2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</t>
  </si>
  <si>
    <t>(указывается вид деятельности муниципального учреждения по которым ему утверждается муниципальное задание)</t>
  </si>
  <si>
    <t>4. Нормативные правовые акты, устанавливающие размер платы (цену, тариф) либо порядок ее установления:</t>
  </si>
  <si>
    <t>4. Нормативные правовые акты, устанавливающие размер платы (цену, тариф) либо порядок ее  установления:</t>
  </si>
  <si>
    <t>наименование4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</si>
  <si>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</si>
  <si>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Часть 2. Прочие сведения о муниципальном задании &lt;8&gt;</t>
  </si>
  <si>
    <t>"  11 "        января        2021 г.</t>
  </si>
  <si>
    <t>на 2021 год и на плановый период 2022 и 2023 годов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</si>
  <si>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</si>
  <si>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</si>
  <si>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</si>
  <si>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"Об установлении нормативов финансового обеспечения образовательной деятельности в Пензенской области на 2021 год"</t>
  </si>
  <si>
    <t>3603-ЗПО</t>
  </si>
  <si>
    <t>Бюджетные назначения на 2021 год</t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</si>
  <si>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   5  .</t>
    </r>
  </si>
  <si>
    <t>Муниципальное бюджетное общеобразовательное учреждение "Гимназия во имя святителя Иннокентия Пензенского" г. Пензы</t>
  </si>
  <si>
    <t>МУНИЦИПАЛЬНОЕ ЗАДАНИЕ № 2D388</t>
  </si>
  <si>
    <t>услуги по обращениию с ТКО</t>
  </si>
  <si>
    <t>Дезенсекция</t>
  </si>
  <si>
    <t>ремонт и заправка картриджей</t>
  </si>
  <si>
    <t>физическая охрана ЧОП</t>
  </si>
  <si>
    <t xml:space="preserve">Директор </t>
  </si>
  <si>
    <t xml:space="preserve">Гл.бухгалтер </t>
  </si>
  <si>
    <t>Духанина Е.А.</t>
  </si>
  <si>
    <t>Варфоломеева Н.Ю.</t>
  </si>
  <si>
    <t>за      1 квартал      2021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</si>
</sst>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000000"/>
  </numFmts>
  <fonts count="5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Arial Cyr"/>
      <charset val="204"/>
    </font>
    <font>
      <u/>
      <sz val="12"/>
      <name val="Verdana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u/>
      <sz val="14"/>
      <name val="Arial Cyr"/>
      <charset val="204"/>
    </font>
    <font>
      <sz val="6"/>
      <name val="Times New Roman"/>
      <family val="1"/>
      <charset val="204"/>
    </font>
    <font>
      <u/>
      <sz val="11"/>
      <name val="Times New Roman"/>
      <family val="1"/>
      <charset val="204"/>
    </font>
    <font>
      <sz val="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i/>
      <u/>
      <sz val="10"/>
      <name val="Arial Cyr"/>
      <charset val="204"/>
    </font>
    <font>
      <sz val="7.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25" fillId="0" borderId="0" applyFont="0" applyFill="0" applyBorder="0" applyAlignment="0" applyProtection="0"/>
  </cellStyleXfs>
  <cellXfs count="520">
    <xf numFmtId="0" fontId="0" fillId="0" borderId="0" xfId="0"/>
    <xf numFmtId="0" fontId="1" fillId="0" borderId="0" xfId="1" applyFont="1"/>
    <xf numFmtId="0" fontId="1" fillId="0" borderId="0" xfId="1" applyFont="1" applyAlignment="1">
      <alignment wrapText="1"/>
    </xf>
    <xf numFmtId="0" fontId="1" fillId="0" borderId="0" xfId="1" applyFont="1" applyFill="1"/>
    <xf numFmtId="0" fontId="1" fillId="0" borderId="0" xfId="1" applyFont="1" applyProtection="1">
      <protection locked="0"/>
    </xf>
    <xf numFmtId="0" fontId="1" fillId="0" borderId="0" xfId="1" applyFont="1" applyAlignment="1"/>
    <xf numFmtId="0" fontId="1" fillId="0" borderId="0" xfId="1" applyFont="1" applyAlignment="1" applyProtection="1">
      <protection locked="0"/>
    </xf>
    <xf numFmtId="4" fontId="1" fillId="0" borderId="2" xfId="1" applyNumberFormat="1" applyFont="1" applyBorder="1" applyAlignment="1">
      <alignment wrapText="1"/>
    </xf>
    <xf numFmtId="4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6" xfId="1" applyFont="1" applyBorder="1" applyAlignment="1">
      <alignment wrapText="1"/>
    </xf>
    <xf numFmtId="4" fontId="1" fillId="0" borderId="5" xfId="1" applyNumberFormat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1" applyFont="1" applyBorder="1"/>
    <xf numFmtId="2" fontId="1" fillId="0" borderId="1" xfId="1" applyNumberFormat="1" applyFont="1" applyBorder="1" applyAlignment="1">
      <alignment wrapText="1"/>
    </xf>
    <xf numFmtId="0" fontId="1" fillId="0" borderId="6" xfId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0" xfId="1" applyNumberFormat="1" applyFont="1" applyAlignment="1">
      <alignment wrapText="1"/>
    </xf>
    <xf numFmtId="0" fontId="1" fillId="0" borderId="10" xfId="1" applyFont="1" applyBorder="1"/>
    <xf numFmtId="0" fontId="1" fillId="2" borderId="1" xfId="0" applyFont="1" applyFill="1" applyBorder="1"/>
    <xf numFmtId="2" fontId="1" fillId="0" borderId="0" xfId="1" applyNumberFormat="1" applyFont="1"/>
    <xf numFmtId="164" fontId="1" fillId="0" borderId="1" xfId="0" applyNumberFormat="1" applyFont="1" applyBorder="1"/>
    <xf numFmtId="164" fontId="1" fillId="0" borderId="1" xfId="1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0" xfId="1" applyNumberFormat="1" applyFont="1" applyBorder="1" applyAlignment="1">
      <alignment wrapText="1"/>
    </xf>
    <xf numFmtId="0" fontId="1" fillId="0" borderId="0" xfId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12" fillId="0" borderId="0" xfId="1" applyFont="1"/>
    <xf numFmtId="0" fontId="12" fillId="0" borderId="0" xfId="1" applyFont="1" applyAlignment="1">
      <alignment wrapText="1"/>
    </xf>
    <xf numFmtId="0" fontId="2" fillId="0" borderId="0" xfId="1" applyFont="1" applyFill="1"/>
    <xf numFmtId="0" fontId="2" fillId="0" borderId="0" xfId="1" applyFo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6" xfId="1" applyFont="1" applyBorder="1" applyAlignment="1">
      <alignment wrapText="1"/>
    </xf>
    <xf numFmtId="0" fontId="2" fillId="0" borderId="13" xfId="1" applyFont="1" applyBorder="1"/>
    <xf numFmtId="0" fontId="2" fillId="0" borderId="14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wrapText="1"/>
    </xf>
    <xf numFmtId="2" fontId="2" fillId="0" borderId="5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0" fontId="7" fillId="0" borderId="0" xfId="1"/>
    <xf numFmtId="0" fontId="7" fillId="0" borderId="0" xfId="1" applyFont="1"/>
    <xf numFmtId="0" fontId="7" fillId="0" borderId="0" xfId="1" applyFont="1" applyFill="1"/>
    <xf numFmtId="0" fontId="7" fillId="0" borderId="0" xfId="1" applyProtection="1">
      <protection locked="0"/>
    </xf>
    <xf numFmtId="0" fontId="7" fillId="0" borderId="0" xfId="1" applyFont="1" applyAlignment="1"/>
    <xf numFmtId="0" fontId="7" fillId="0" borderId="2" xfId="1" applyBorder="1"/>
    <xf numFmtId="0" fontId="7" fillId="0" borderId="3" xfId="1" applyBorder="1"/>
    <xf numFmtId="0" fontId="7" fillId="0" borderId="5" xfId="1" applyBorder="1"/>
    <xf numFmtId="0" fontId="7" fillId="0" borderId="1" xfId="1" applyBorder="1"/>
    <xf numFmtId="0" fontId="7" fillId="0" borderId="9" xfId="1" applyBorder="1" applyAlignment="1">
      <alignment wrapText="1"/>
    </xf>
    <xf numFmtId="0" fontId="1" fillId="3" borderId="6" xfId="1" applyFont="1" applyFill="1" applyBorder="1" applyAlignment="1">
      <alignment vertical="top" wrapText="1"/>
    </xf>
    <xf numFmtId="0" fontId="14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4" xfId="1" applyBorder="1" applyAlignment="1">
      <alignment wrapText="1"/>
    </xf>
    <xf numFmtId="0" fontId="7" fillId="0" borderId="6" xfId="1" applyBorder="1" applyAlignment="1">
      <alignment wrapText="1"/>
    </xf>
    <xf numFmtId="0" fontId="7" fillId="0" borderId="0" xfId="1" applyBorder="1" applyAlignment="1">
      <alignment horizontal="center"/>
    </xf>
    <xf numFmtId="0" fontId="7" fillId="0" borderId="0" xfId="1" applyBorder="1"/>
    <xf numFmtId="4" fontId="7" fillId="0" borderId="0" xfId="1" applyNumberFormat="1"/>
    <xf numFmtId="0" fontId="7" fillId="0" borderId="3" xfId="1" applyBorder="1" applyAlignment="1">
      <alignment horizontal="center"/>
    </xf>
    <xf numFmtId="0" fontId="7" fillId="0" borderId="6" xfId="1" applyBorder="1"/>
    <xf numFmtId="0" fontId="7" fillId="0" borderId="0" xfId="1" applyFont="1" applyAlignment="1">
      <alignment wrapText="1"/>
    </xf>
    <xf numFmtId="0" fontId="1" fillId="0" borderId="14" xfId="1" applyFont="1" applyBorder="1" applyAlignment="1">
      <alignment vertical="top" wrapText="1"/>
    </xf>
    <xf numFmtId="0" fontId="1" fillId="2" borderId="3" xfId="1" applyFont="1" applyFill="1" applyBorder="1" applyAlignment="1">
      <alignment horizontal="center" vertical="top" wrapText="1"/>
    </xf>
    <xf numFmtId="0" fontId="12" fillId="6" borderId="1" xfId="1" applyFont="1" applyFill="1" applyBorder="1" applyAlignment="1" applyProtection="1">
      <alignment horizontal="center" wrapText="1"/>
      <protection locked="0"/>
    </xf>
    <xf numFmtId="0" fontId="1" fillId="0" borderId="1" xfId="1" applyFont="1" applyBorder="1" applyAlignment="1">
      <alignment horizontal="center" wrapText="1"/>
    </xf>
    <xf numFmtId="0" fontId="17" fillId="0" borderId="0" xfId="1" applyFont="1" applyAlignment="1">
      <alignment vertical="center" wrapText="1"/>
    </xf>
    <xf numFmtId="4" fontId="7" fillId="0" borderId="1" xfId="1" applyNumberFormat="1" applyBorder="1"/>
    <xf numFmtId="4" fontId="7" fillId="6" borderId="1" xfId="1" applyNumberFormat="1" applyFill="1" applyBorder="1" applyProtection="1">
      <protection locked="0"/>
    </xf>
    <xf numFmtId="0" fontId="18" fillId="0" borderId="0" xfId="1" applyFont="1"/>
    <xf numFmtId="0" fontId="18" fillId="0" borderId="0" xfId="1" applyFont="1" applyProtection="1">
      <protection locked="0"/>
    </xf>
    <xf numFmtId="4" fontId="18" fillId="0" borderId="0" xfId="1" applyNumberFormat="1" applyFont="1" applyProtection="1">
      <protection locked="0"/>
    </xf>
    <xf numFmtId="4" fontId="7" fillId="0" borderId="1" xfId="1" applyNumberFormat="1" applyFont="1" applyBorder="1"/>
    <xf numFmtId="4" fontId="7" fillId="6" borderId="1" xfId="1" applyNumberFormat="1" applyFont="1" applyFill="1" applyBorder="1" applyProtection="1">
      <protection locked="0"/>
    </xf>
    <xf numFmtId="49" fontId="18" fillId="0" borderId="1" xfId="1" applyNumberFormat="1" applyFont="1" applyBorder="1" applyAlignment="1">
      <alignment horizontal="right"/>
    </xf>
    <xf numFmtId="0" fontId="18" fillId="0" borderId="1" xfId="1" applyFont="1" applyBorder="1"/>
    <xf numFmtId="4" fontId="18" fillId="0" borderId="1" xfId="1" applyNumberFormat="1" applyFont="1" applyBorder="1"/>
    <xf numFmtId="4" fontId="7" fillId="0" borderId="0" xfId="1" applyNumberFormat="1" applyFont="1" applyFill="1"/>
    <xf numFmtId="0" fontId="7" fillId="0" borderId="1" xfId="1" applyFont="1" applyFill="1" applyBorder="1"/>
    <xf numFmtId="4" fontId="7" fillId="7" borderId="1" xfId="1" applyNumberFormat="1" applyFont="1" applyFill="1" applyBorder="1" applyProtection="1">
      <protection locked="0"/>
    </xf>
    <xf numFmtId="4" fontId="18" fillId="0" borderId="0" xfId="1" applyNumberFormat="1" applyFont="1"/>
    <xf numFmtId="0" fontId="7" fillId="8" borderId="1" xfId="1" applyFont="1" applyFill="1" applyBorder="1"/>
    <xf numFmtId="4" fontId="7" fillId="0" borderId="1" xfId="1" applyNumberFormat="1" applyFont="1" applyFill="1" applyBorder="1" applyProtection="1">
      <protection locked="0"/>
    </xf>
    <xf numFmtId="0" fontId="1" fillId="0" borderId="3" xfId="1" applyFont="1" applyFill="1" applyBorder="1" applyAlignment="1">
      <alignment wrapText="1"/>
    </xf>
    <xf numFmtId="2" fontId="2" fillId="8" borderId="5" xfId="1" applyNumberFormat="1" applyFont="1" applyFill="1" applyBorder="1"/>
    <xf numFmtId="0" fontId="2" fillId="0" borderId="6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7" fillId="0" borderId="20" xfId="1" applyFont="1" applyBorder="1" applyAlignment="1"/>
    <xf numFmtId="0" fontId="7" fillId="0" borderId="20" xfId="1" applyFont="1" applyBorder="1"/>
    <xf numFmtId="0" fontId="7" fillId="0" borderId="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43" fontId="18" fillId="0" borderId="0" xfId="2" applyFont="1"/>
    <xf numFmtId="0" fontId="7" fillId="0" borderId="9" xfId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2" fontId="7" fillId="0" borderId="1" xfId="1" applyNumberFormat="1" applyBorder="1"/>
    <xf numFmtId="0" fontId="1" fillId="0" borderId="9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2" fillId="0" borderId="5" xfId="1" applyFont="1" applyFill="1" applyBorder="1"/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wrapText="1"/>
    </xf>
    <xf numFmtId="4" fontId="1" fillId="0" borderId="0" xfId="0" applyNumberFormat="1" applyFont="1" applyBorder="1"/>
    <xf numFmtId="0" fontId="2" fillId="0" borderId="34" xfId="1" applyFont="1" applyBorder="1" applyAlignment="1">
      <alignment wrapText="1"/>
    </xf>
    <xf numFmtId="0" fontId="2" fillId="0" borderId="16" xfId="1" applyFont="1" applyBorder="1"/>
    <xf numFmtId="0" fontId="2" fillId="0" borderId="35" xfId="1" applyFont="1" applyBorder="1"/>
    <xf numFmtId="2" fontId="2" fillId="0" borderId="2" xfId="1" applyNumberFormat="1" applyFont="1" applyBorder="1"/>
    <xf numFmtId="0" fontId="7" fillId="0" borderId="4" xfId="1" applyBorder="1"/>
    <xf numFmtId="0" fontId="7" fillId="0" borderId="14" xfId="1" applyBorder="1"/>
    <xf numFmtId="0" fontId="0" fillId="0" borderId="0" xfId="0" applyAlignment="1">
      <alignment wrapText="1"/>
    </xf>
    <xf numFmtId="0" fontId="28" fillId="0" borderId="1" xfId="0" applyFont="1" applyBorder="1" applyAlignment="1">
      <alignment wrapText="1"/>
    </xf>
    <xf numFmtId="0" fontId="28" fillId="9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wrapText="1"/>
    </xf>
    <xf numFmtId="4" fontId="28" fillId="9" borderId="1" xfId="0" applyNumberFormat="1" applyFont="1" applyFill="1" applyBorder="1" applyAlignment="1">
      <alignment horizontal="center"/>
    </xf>
    <xf numFmtId="4" fontId="29" fillId="9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 wrapText="1"/>
    </xf>
    <xf numFmtId="0" fontId="28" fillId="0" borderId="0" xfId="0" applyFont="1"/>
    <xf numFmtId="0" fontId="1" fillId="2" borderId="0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7" fillId="0" borderId="24" xfId="1" applyFont="1" applyFill="1" applyBorder="1" applyAlignment="1"/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7" fillId="0" borderId="0" xfId="1" applyAlignment="1">
      <alignment horizontal="center"/>
    </xf>
    <xf numFmtId="0" fontId="31" fillId="0" borderId="5" xfId="1" applyFont="1" applyFill="1" applyBorder="1"/>
    <xf numFmtId="0" fontId="16" fillId="0" borderId="0" xfId="1" applyFont="1" applyAlignment="1">
      <alignment horizontal="center" wrapText="1"/>
    </xf>
    <xf numFmtId="4" fontId="1" fillId="0" borderId="5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4" fontId="1" fillId="0" borderId="0" xfId="1" applyNumberFormat="1" applyFont="1"/>
    <xf numFmtId="0" fontId="1" fillId="0" borderId="1" xfId="1" applyFont="1" applyBorder="1" applyAlignment="1">
      <alignment horizontal="center"/>
    </xf>
    <xf numFmtId="43" fontId="14" fillId="0" borderId="1" xfId="2" applyFont="1" applyBorder="1" applyAlignment="1" applyProtection="1">
      <alignment horizontal="center" vertical="center"/>
      <protection locked="0"/>
    </xf>
    <xf numFmtId="10" fontId="14" fillId="0" borderId="1" xfId="1" applyNumberFormat="1" applyFont="1" applyBorder="1"/>
    <xf numFmtId="43" fontId="14" fillId="0" borderId="5" xfId="2" applyFont="1" applyBorder="1"/>
    <xf numFmtId="43" fontId="14" fillId="0" borderId="13" xfId="2" applyFont="1" applyBorder="1" applyAlignment="1" applyProtection="1">
      <alignment horizontal="center" vertical="center"/>
      <protection locked="0"/>
    </xf>
    <xf numFmtId="10" fontId="14" fillId="0" borderId="13" xfId="1" applyNumberFormat="1" applyFont="1" applyBorder="1"/>
    <xf numFmtId="43" fontId="14" fillId="0" borderId="3" xfId="2" applyFont="1" applyBorder="1" applyAlignment="1" applyProtection="1">
      <alignment horizontal="center" vertical="center"/>
      <protection locked="0"/>
    </xf>
    <xf numFmtId="2" fontId="14" fillId="0" borderId="3" xfId="1" applyNumberFormat="1" applyFont="1" applyBorder="1" applyAlignment="1">
      <alignment horizontal="right"/>
    </xf>
    <xf numFmtId="43" fontId="14" fillId="0" borderId="2" xfId="2" applyFont="1" applyBorder="1"/>
    <xf numFmtId="0" fontId="28" fillId="0" borderId="0" xfId="0" applyFont="1" applyAlignment="1">
      <alignment horizontal="left"/>
    </xf>
    <xf numFmtId="4" fontId="1" fillId="0" borderId="1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0" fontId="1" fillId="0" borderId="34" xfId="1" applyFont="1" applyBorder="1" applyAlignment="1">
      <alignment wrapText="1"/>
    </xf>
    <xf numFmtId="0" fontId="1" fillId="0" borderId="36" xfId="1" applyFont="1" applyBorder="1" applyAlignment="1">
      <alignment horizontal="center" wrapText="1"/>
    </xf>
    <xf numFmtId="0" fontId="7" fillId="0" borderId="16" xfId="1" applyBorder="1" applyAlignment="1">
      <alignment horizontal="center"/>
    </xf>
    <xf numFmtId="4" fontId="7" fillId="0" borderId="17" xfId="1" applyNumberFormat="1" applyBorder="1" applyAlignment="1">
      <alignment horizontal="center"/>
    </xf>
    <xf numFmtId="0" fontId="14" fillId="0" borderId="8" xfId="1" applyFont="1" applyBorder="1" applyAlignment="1">
      <alignment horizontal="center" vertical="center" wrapText="1"/>
    </xf>
    <xf numFmtId="0" fontId="7" fillId="4" borderId="3" xfId="1" applyFill="1" applyBorder="1" applyAlignment="1">
      <alignment horizontal="center"/>
    </xf>
    <xf numFmtId="4" fontId="7" fillId="0" borderId="3" xfId="1" applyNumberFormat="1" applyBorder="1" applyAlignment="1">
      <alignment horizontal="center"/>
    </xf>
    <xf numFmtId="0" fontId="7" fillId="0" borderId="0" xfId="1" applyAlignment="1"/>
    <xf numFmtId="3" fontId="18" fillId="0" borderId="1" xfId="1" applyNumberFormat="1" applyFont="1" applyBorder="1"/>
    <xf numFmtId="0" fontId="4" fillId="0" borderId="9" xfId="1" applyFont="1" applyBorder="1" applyAlignment="1">
      <alignment horizontal="center" vertical="top" wrapText="1"/>
    </xf>
    <xf numFmtId="0" fontId="1" fillId="8" borderId="6" xfId="1" applyFont="1" applyFill="1" applyBorder="1" applyAlignment="1">
      <alignment wrapText="1"/>
    </xf>
    <xf numFmtId="0" fontId="1" fillId="8" borderId="4" xfId="1" applyFont="1" applyFill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7" fillId="0" borderId="1" xfId="1" applyFill="1" applyBorder="1" applyAlignment="1">
      <alignment horizontal="center"/>
    </xf>
    <xf numFmtId="4" fontId="7" fillId="0" borderId="1" xfId="1" applyNumberForma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0" fontId="7" fillId="0" borderId="0" xfId="1" applyFill="1"/>
    <xf numFmtId="0" fontId="1" fillId="0" borderId="6" xfId="1" applyFont="1" applyFill="1" applyBorder="1"/>
    <xf numFmtId="0" fontId="1" fillId="0" borderId="1" xfId="1" applyFont="1" applyFill="1" applyBorder="1" applyAlignment="1">
      <alignment horizontal="center"/>
    </xf>
    <xf numFmtId="0" fontId="34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wrapText="1"/>
    </xf>
    <xf numFmtId="4" fontId="7" fillId="12" borderId="1" xfId="1" applyNumberFormat="1" applyFill="1" applyBorder="1"/>
    <xf numFmtId="4" fontId="34" fillId="0" borderId="1" xfId="1" applyNumberFormat="1" applyFont="1" applyBorder="1"/>
    <xf numFmtId="0" fontId="34" fillId="0" borderId="0" xfId="1" applyFont="1"/>
    <xf numFmtId="0" fontId="35" fillId="0" borderId="0" xfId="1" applyFont="1" applyAlignment="1">
      <alignment wrapText="1"/>
    </xf>
    <xf numFmtId="0" fontId="35" fillId="0" borderId="0" xfId="1" applyFont="1"/>
    <xf numFmtId="0" fontId="38" fillId="0" borderId="9" xfId="1" applyFont="1" applyBorder="1" applyAlignment="1">
      <alignment horizontal="center" vertical="top" wrapText="1"/>
    </xf>
    <xf numFmtId="0" fontId="35" fillId="8" borderId="6" xfId="1" applyFont="1" applyFill="1" applyBorder="1" applyAlignment="1">
      <alignment wrapText="1"/>
    </xf>
    <xf numFmtId="0" fontId="35" fillId="8" borderId="4" xfId="1" applyFont="1" applyFill="1" applyBorder="1" applyAlignment="1">
      <alignment wrapText="1"/>
    </xf>
    <xf numFmtId="2" fontId="1" fillId="0" borderId="0" xfId="0" applyNumberFormat="1" applyFont="1" applyBorder="1"/>
    <xf numFmtId="4" fontId="35" fillId="0" borderId="0" xfId="1" applyNumberFormat="1" applyFont="1" applyAlignment="1">
      <alignment wrapText="1"/>
    </xf>
    <xf numFmtId="4" fontId="35" fillId="0" borderId="5" xfId="1" applyNumberFormat="1" applyFont="1" applyBorder="1" applyAlignment="1">
      <alignment wrapText="1"/>
    </xf>
    <xf numFmtId="0" fontId="2" fillId="0" borderId="12" xfId="1" applyFont="1" applyFill="1" applyBorder="1"/>
    <xf numFmtId="0" fontId="7" fillId="0" borderId="1" xfId="1" applyBorder="1" applyAlignment="1">
      <alignment horizontal="center"/>
    </xf>
    <xf numFmtId="4" fontId="7" fillId="0" borderId="1" xfId="1" applyNumberFormat="1" applyBorder="1" applyAlignment="1">
      <alignment horizontal="center"/>
    </xf>
    <xf numFmtId="0" fontId="7" fillId="4" borderId="1" xfId="1" applyFill="1" applyBorder="1" applyAlignment="1">
      <alignment horizontal="center"/>
    </xf>
    <xf numFmtId="2" fontId="2" fillId="0" borderId="0" xfId="1" applyNumberFormat="1" applyFont="1"/>
    <xf numFmtId="0" fontId="1" fillId="0" borderId="1" xfId="1" applyFont="1" applyBorder="1" applyAlignment="1">
      <alignment wrapText="1"/>
    </xf>
    <xf numFmtId="2" fontId="2" fillId="10" borderId="5" xfId="1" applyNumberFormat="1" applyFont="1" applyFill="1" applyBorder="1"/>
    <xf numFmtId="0" fontId="3" fillId="10" borderId="0" xfId="0" applyFont="1" applyFill="1"/>
    <xf numFmtId="0" fontId="3" fillId="10" borderId="0" xfId="0" applyFont="1" applyFill="1" applyBorder="1"/>
    <xf numFmtId="0" fontId="34" fillId="0" borderId="1" xfId="1" applyFont="1" applyFill="1" applyBorder="1"/>
    <xf numFmtId="0" fontId="35" fillId="0" borderId="11" xfId="1" applyFont="1" applyBorder="1" applyAlignment="1">
      <alignment horizontal="center" vertical="top" wrapText="1"/>
    </xf>
    <xf numFmtId="0" fontId="32" fillId="0" borderId="11" xfId="1" applyFont="1" applyBorder="1" applyAlignment="1">
      <alignment horizontal="center" vertical="top" wrapText="1"/>
    </xf>
    <xf numFmtId="4" fontId="32" fillId="0" borderId="11" xfId="1" applyNumberFormat="1" applyFont="1" applyBorder="1" applyAlignment="1">
      <alignment horizontal="center" vertical="top" wrapText="1"/>
    </xf>
    <xf numFmtId="4" fontId="39" fillId="0" borderId="1" xfId="1" applyNumberFormat="1" applyFont="1" applyFill="1" applyBorder="1"/>
    <xf numFmtId="0" fontId="39" fillId="0" borderId="1" xfId="1" applyFont="1" applyFill="1" applyBorder="1"/>
    <xf numFmtId="0" fontId="40" fillId="0" borderId="0" xfId="1" applyFont="1" applyAlignment="1">
      <alignment wrapText="1"/>
    </xf>
    <xf numFmtId="0" fontId="41" fillId="0" borderId="0" xfId="1" applyFont="1"/>
    <xf numFmtId="0" fontId="41" fillId="0" borderId="0" xfId="1" applyFont="1" applyAlignment="1">
      <alignment wrapText="1"/>
    </xf>
    <xf numFmtId="4" fontId="41" fillId="0" borderId="0" xfId="1" applyNumberFormat="1" applyFont="1" applyAlignment="1">
      <alignment wrapText="1"/>
    </xf>
    <xf numFmtId="0" fontId="40" fillId="0" borderId="9" xfId="1" applyFont="1" applyBorder="1" applyAlignment="1">
      <alignment horizontal="center" vertical="center" wrapText="1"/>
    </xf>
    <xf numFmtId="0" fontId="40" fillId="0" borderId="8" xfId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41" fillId="0" borderId="6" xfId="1" applyFont="1" applyBorder="1"/>
    <xf numFmtId="0" fontId="41" fillId="0" borderId="1" xfId="1" applyFont="1" applyBorder="1" applyAlignment="1">
      <alignment horizontal="center"/>
    </xf>
    <xf numFmtId="4" fontId="41" fillId="0" borderId="1" xfId="1" applyNumberFormat="1" applyFont="1" applyBorder="1" applyAlignment="1">
      <alignment horizontal="center"/>
    </xf>
    <xf numFmtId="4" fontId="41" fillId="0" borderId="5" xfId="1" applyNumberFormat="1" applyFont="1" applyBorder="1" applyAlignment="1">
      <alignment horizontal="center"/>
    </xf>
    <xf numFmtId="0" fontId="42" fillId="0" borderId="0" xfId="1" applyFont="1"/>
    <xf numFmtId="0" fontId="41" fillId="0" borderId="4" xfId="1" applyFont="1" applyBorder="1"/>
    <xf numFmtId="0" fontId="41" fillId="0" borderId="3" xfId="1" applyFont="1" applyBorder="1" applyAlignment="1">
      <alignment horizontal="center"/>
    </xf>
    <xf numFmtId="4" fontId="41" fillId="0" borderId="3" xfId="1" applyNumberFormat="1" applyFont="1" applyBorder="1" applyAlignment="1">
      <alignment horizontal="center"/>
    </xf>
    <xf numFmtId="4" fontId="41" fillId="0" borderId="2" xfId="1" applyNumberFormat="1" applyFont="1" applyBorder="1" applyAlignment="1">
      <alignment horizontal="center"/>
    </xf>
    <xf numFmtId="4" fontId="7" fillId="8" borderId="0" xfId="1" applyNumberFormat="1" applyFont="1" applyFill="1"/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4" fillId="0" borderId="8" xfId="1" applyFont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top" wrapText="1"/>
    </xf>
    <xf numFmtId="4" fontId="7" fillId="8" borderId="1" xfId="1" applyNumberFormat="1" applyFont="1" applyFill="1" applyBorder="1" applyProtection="1">
      <protection locked="0"/>
    </xf>
    <xf numFmtId="0" fontId="7" fillId="0" borderId="1" xfId="1" applyBorder="1" applyAlignment="1">
      <alignment horizontal="right"/>
    </xf>
    <xf numFmtId="0" fontId="18" fillId="0" borderId="1" xfId="1" applyFont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0" fontId="32" fillId="10" borderId="11" xfId="1" applyFont="1" applyFill="1" applyBorder="1" applyAlignment="1">
      <alignment horizontal="center" vertical="top" wrapText="1"/>
    </xf>
    <xf numFmtId="4" fontId="32" fillId="10" borderId="1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Border="1" applyAlignment="1">
      <alignment wrapText="1"/>
    </xf>
    <xf numFmtId="0" fontId="7" fillId="8" borderId="1" xfId="1" applyFill="1" applyBorder="1"/>
    <xf numFmtId="0" fontId="1" fillId="10" borderId="0" xfId="0" applyFont="1" applyFill="1"/>
    <xf numFmtId="0" fontId="1" fillId="10" borderId="0" xfId="0" applyFont="1" applyFill="1" applyBorder="1" applyAlignment="1">
      <alignment horizontal="center" wrapText="1"/>
    </xf>
    <xf numFmtId="0" fontId="1" fillId="10" borderId="24" xfId="0" applyFont="1" applyFill="1" applyBorder="1" applyAlignment="1">
      <alignment wrapText="1"/>
    </xf>
    <xf numFmtId="0" fontId="7" fillId="0" borderId="1" xfId="1" applyBorder="1" applyAlignment="1">
      <alignment horizontal="center"/>
    </xf>
    <xf numFmtId="4" fontId="7" fillId="0" borderId="0" xfId="1" applyNumberFormat="1" applyFill="1"/>
    <xf numFmtId="0" fontId="7" fillId="0" borderId="1" xfId="1" applyBorder="1" applyAlignment="1">
      <alignment horizontal="center"/>
    </xf>
    <xf numFmtId="0" fontId="1" fillId="0" borderId="14" xfId="1" applyFont="1" applyBorder="1"/>
    <xf numFmtId="0" fontId="1" fillId="0" borderId="13" xfId="1" applyFont="1" applyBorder="1" applyAlignment="1">
      <alignment horizontal="center"/>
    </xf>
    <xf numFmtId="0" fontId="7" fillId="0" borderId="13" xfId="1" applyBorder="1" applyAlignment="1">
      <alignment horizontal="center"/>
    </xf>
    <xf numFmtId="0" fontId="7" fillId="4" borderId="13" xfId="1" applyFill="1" applyBorder="1" applyAlignment="1">
      <alignment horizontal="center"/>
    </xf>
    <xf numFmtId="4" fontId="7" fillId="0" borderId="13" xfId="1" applyNumberForma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2" xfId="1" applyNumberFormat="1" applyFont="1" applyBorder="1" applyAlignment="1">
      <alignment horizontal="center"/>
    </xf>
    <xf numFmtId="4" fontId="47" fillId="10" borderId="0" xfId="0" applyNumberFormat="1" applyFont="1" applyFill="1"/>
    <xf numFmtId="0" fontId="47" fillId="10" borderId="0" xfId="0" applyFont="1" applyFill="1"/>
    <xf numFmtId="2" fontId="1" fillId="0" borderId="0" xfId="1" applyNumberFormat="1" applyFont="1" applyAlignment="1">
      <alignment wrapText="1"/>
    </xf>
    <xf numFmtId="0" fontId="1" fillId="0" borderId="1" xfId="1" applyFont="1" applyFill="1" applyBorder="1" applyAlignment="1">
      <alignment horizontal="right" wrapText="1"/>
    </xf>
    <xf numFmtId="2" fontId="2" fillId="0" borderId="5" xfId="1" applyNumberFormat="1" applyFont="1" applyFill="1" applyBorder="1"/>
    <xf numFmtId="0" fontId="2" fillId="0" borderId="9" xfId="1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 applyAlignment="1"/>
    <xf numFmtId="0" fontId="3" fillId="10" borderId="0" xfId="0" applyFont="1" applyFill="1" applyAlignment="1">
      <alignment horizontal="center"/>
    </xf>
    <xf numFmtId="0" fontId="1" fillId="10" borderId="0" xfId="0" applyFont="1" applyFill="1" applyAlignment="1">
      <alignment vertical="top"/>
    </xf>
    <xf numFmtId="0" fontId="33" fillId="10" borderId="0" xfId="0" applyFont="1" applyFill="1"/>
    <xf numFmtId="0" fontId="43" fillId="10" borderId="0" xfId="0" applyFont="1" applyFill="1"/>
    <xf numFmtId="0" fontId="43" fillId="10" borderId="1" xfId="0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5" fillId="10" borderId="1" xfId="0" applyFont="1" applyFill="1" applyBorder="1"/>
    <xf numFmtId="0" fontId="33" fillId="10" borderId="28" xfId="0" applyFont="1" applyFill="1" applyBorder="1" applyAlignment="1"/>
    <xf numFmtId="0" fontId="33" fillId="10" borderId="1" xfId="0" applyFont="1" applyFill="1" applyBorder="1"/>
    <xf numFmtId="0" fontId="4" fillId="10" borderId="1" xfId="0" applyFont="1" applyFill="1" applyBorder="1"/>
    <xf numFmtId="0" fontId="4" fillId="10" borderId="1" xfId="0" applyFont="1" applyFill="1" applyBorder="1" applyAlignment="1">
      <alignment wrapText="1"/>
    </xf>
    <xf numFmtId="0" fontId="24" fillId="10" borderId="1" xfId="0" applyFont="1" applyFill="1" applyBorder="1"/>
    <xf numFmtId="0" fontId="20" fillId="10" borderId="1" xfId="0" applyFont="1" applyFill="1" applyBorder="1"/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/>
    </xf>
    <xf numFmtId="0" fontId="4" fillId="10" borderId="1" xfId="0" applyFont="1" applyFill="1" applyBorder="1" applyAlignment="1"/>
    <xf numFmtId="9" fontId="4" fillId="10" borderId="1" xfId="0" applyNumberFormat="1" applyFont="1" applyFill="1" applyBorder="1" applyAlignment="1">
      <alignment horizontal="center"/>
    </xf>
    <xf numFmtId="0" fontId="4" fillId="10" borderId="23" xfId="0" applyFont="1" applyFill="1" applyBorder="1" applyAlignment="1"/>
    <xf numFmtId="0" fontId="4" fillId="10" borderId="15" xfId="0" applyFont="1" applyFill="1" applyBorder="1" applyAlignment="1"/>
    <xf numFmtId="0" fontId="3" fillId="10" borderId="1" xfId="0" applyFont="1" applyFill="1" applyBorder="1" applyAlignment="1"/>
    <xf numFmtId="0" fontId="3" fillId="10" borderId="23" xfId="0" applyFont="1" applyFill="1" applyBorder="1" applyAlignment="1"/>
    <xf numFmtId="0" fontId="3" fillId="10" borderId="15" xfId="0" applyFont="1" applyFill="1" applyBorder="1" applyAlignment="1"/>
    <xf numFmtId="0" fontId="3" fillId="10" borderId="1" xfId="0" applyFont="1" applyFill="1" applyBorder="1" applyAlignment="1">
      <alignment horizontal="center"/>
    </xf>
    <xf numFmtId="0" fontId="22" fillId="10" borderId="0" xfId="0" applyFont="1" applyFill="1"/>
    <xf numFmtId="14" fontId="4" fillId="10" borderId="1" xfId="0" applyNumberFormat="1" applyFont="1" applyFill="1" applyBorder="1" applyAlignment="1">
      <alignment horizontal="center" vertical="center"/>
    </xf>
    <xf numFmtId="0" fontId="4" fillId="10" borderId="0" xfId="0" applyFont="1" applyFill="1"/>
    <xf numFmtId="0" fontId="4" fillId="10" borderId="1" xfId="0" applyFont="1" applyFill="1" applyBorder="1" applyAlignment="1">
      <alignment vertical="top"/>
    </xf>
    <xf numFmtId="14" fontId="4" fillId="10" borderId="1" xfId="0" applyNumberFormat="1" applyFont="1" applyFill="1" applyBorder="1" applyAlignment="1">
      <alignment vertical="top"/>
    </xf>
    <xf numFmtId="0" fontId="4" fillId="10" borderId="1" xfId="0" applyFont="1" applyFill="1" applyBorder="1" applyAlignment="1">
      <alignment horizontal="center" vertical="top"/>
    </xf>
    <xf numFmtId="0" fontId="4" fillId="10" borderId="0" xfId="0" applyFont="1" applyFill="1" applyAlignment="1">
      <alignment vertical="top"/>
    </xf>
    <xf numFmtId="14" fontId="4" fillId="10" borderId="1" xfId="0" applyNumberFormat="1" applyFont="1" applyFill="1" applyBorder="1"/>
    <xf numFmtId="0" fontId="3" fillId="10" borderId="21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 vertical="top"/>
    </xf>
    <xf numFmtId="0" fontId="3" fillId="10" borderId="20" xfId="0" applyFont="1" applyFill="1" applyBorder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vertical="top"/>
    </xf>
    <xf numFmtId="0" fontId="1" fillId="10" borderId="20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horizontal="center"/>
    </xf>
    <xf numFmtId="0" fontId="2" fillId="10" borderId="0" xfId="0" applyFont="1" applyFill="1"/>
    <xf numFmtId="0" fontId="7" fillId="0" borderId="1" xfId="1" applyBorder="1" applyAlignment="1">
      <alignment horizontal="center"/>
    </xf>
    <xf numFmtId="0" fontId="18" fillId="13" borderId="0" xfId="1" applyFont="1" applyFill="1"/>
    <xf numFmtId="0" fontId="7" fillId="13" borderId="0" xfId="1" applyFill="1"/>
    <xf numFmtId="0" fontId="1" fillId="13" borderId="0" xfId="1" applyFont="1" applyFill="1" applyBorder="1" applyAlignment="1">
      <alignment horizontal="center" vertical="top" wrapText="1"/>
    </xf>
    <xf numFmtId="14" fontId="11" fillId="0" borderId="1" xfId="0" applyNumberFormat="1" applyFont="1" applyBorder="1"/>
    <xf numFmtId="14" fontId="11" fillId="0" borderId="1" xfId="0" applyNumberFormat="1" applyFont="1" applyBorder="1" applyAlignment="1">
      <alignment wrapText="1"/>
    </xf>
    <xf numFmtId="2" fontId="7" fillId="4" borderId="1" xfId="1" applyNumberFormat="1" applyFill="1" applyBorder="1" applyAlignment="1">
      <alignment horizontal="center"/>
    </xf>
    <xf numFmtId="2" fontId="7" fillId="0" borderId="20" xfId="1" applyNumberFormat="1" applyFont="1" applyBorder="1" applyAlignment="1"/>
    <xf numFmtId="0" fontId="2" fillId="10" borderId="0" xfId="0" applyFont="1" applyFill="1" applyBorder="1" applyAlignment="1">
      <alignment horizontal="left" wrapText="1"/>
    </xf>
    <xf numFmtId="0" fontId="2" fillId="10" borderId="0" xfId="0" applyFont="1" applyFill="1" applyAlignment="1">
      <alignment horizontal="left" wrapText="1"/>
    </xf>
    <xf numFmtId="0" fontId="1" fillId="10" borderId="20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/>
    </xf>
    <xf numFmtId="0" fontId="3" fillId="10" borderId="20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3" fillId="10" borderId="23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 vertical="top"/>
    </xf>
    <xf numFmtId="0" fontId="3" fillId="10" borderId="20" xfId="0" applyFont="1" applyFill="1" applyBorder="1" applyAlignment="1">
      <alignment horizontal="center" vertical="top"/>
    </xf>
    <xf numFmtId="0" fontId="3" fillId="10" borderId="28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vertical="top" wrapText="1"/>
    </xf>
    <xf numFmtId="0" fontId="1" fillId="10" borderId="27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/>
    </xf>
    <xf numFmtId="0" fontId="6" fillId="10" borderId="20" xfId="0" applyFont="1" applyFill="1" applyBorder="1" applyAlignment="1">
      <alignment horizontal="center"/>
    </xf>
    <xf numFmtId="0" fontId="43" fillId="10" borderId="1" xfId="0" applyFont="1" applyFill="1" applyBorder="1" applyAlignment="1">
      <alignment horizontal="center" vertical="center" wrapText="1"/>
    </xf>
    <xf numFmtId="0" fontId="43" fillId="10" borderId="23" xfId="0" applyFont="1" applyFill="1" applyBorder="1" applyAlignment="1">
      <alignment horizontal="center" vertical="center" wrapText="1"/>
    </xf>
    <xf numFmtId="0" fontId="43" fillId="10" borderId="24" xfId="0" applyFont="1" applyFill="1" applyBorder="1" applyAlignment="1">
      <alignment horizontal="center" vertical="center" wrapText="1"/>
    </xf>
    <xf numFmtId="0" fontId="43" fillId="10" borderId="15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3" xfId="0" quotePrefix="1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left" wrapText="1"/>
    </xf>
    <xf numFmtId="0" fontId="5" fillId="10" borderId="15" xfId="0" applyFont="1" applyFill="1" applyBorder="1" applyAlignment="1">
      <alignment horizontal="left" wrapText="1"/>
    </xf>
    <xf numFmtId="0" fontId="4" fillId="10" borderId="23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top"/>
    </xf>
    <xf numFmtId="0" fontId="3" fillId="10" borderId="0" xfId="0" applyFont="1" applyFill="1" applyAlignment="1">
      <alignment horizontal="left"/>
    </xf>
    <xf numFmtId="0" fontId="1" fillId="10" borderId="23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horizontal="center" vertical="top"/>
    </xf>
    <xf numFmtId="0" fontId="1" fillId="10" borderId="15" xfId="0" applyFont="1" applyFill="1" applyBorder="1" applyAlignment="1">
      <alignment horizontal="center" vertical="top"/>
    </xf>
    <xf numFmtId="0" fontId="4" fillId="10" borderId="23" xfId="0" applyFont="1" applyFill="1" applyBorder="1" applyAlignment="1">
      <alignment horizontal="left" wrapText="1"/>
    </xf>
    <xf numFmtId="0" fontId="4" fillId="10" borderId="24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3" fillId="10" borderId="23" xfId="0" applyFont="1" applyFill="1" applyBorder="1" applyAlignment="1">
      <alignment horizontal="center" vertical="top"/>
    </xf>
    <xf numFmtId="0" fontId="3" fillId="10" borderId="24" xfId="0" applyFont="1" applyFill="1" applyBorder="1" applyAlignment="1">
      <alignment horizontal="center" vertical="top"/>
    </xf>
    <xf numFmtId="0" fontId="3" fillId="10" borderId="15" xfId="0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3" fillId="10" borderId="20" xfId="0" applyFont="1" applyFill="1" applyBorder="1" applyAlignment="1">
      <alignment horizontal="left" wrapText="1"/>
    </xf>
    <xf numFmtId="0" fontId="2" fillId="10" borderId="0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left" vertical="center" wrapText="1"/>
    </xf>
    <xf numFmtId="0" fontId="4" fillId="10" borderId="24" xfId="0" applyFont="1" applyFill="1" applyBorder="1" applyAlignment="1">
      <alignment horizontal="left" vertical="center"/>
    </xf>
    <xf numFmtId="0" fontId="4" fillId="10" borderId="15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wrapText="1"/>
    </xf>
    <xf numFmtId="0" fontId="4" fillId="10" borderId="2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46" fillId="10" borderId="23" xfId="0" applyFont="1" applyFill="1" applyBorder="1" applyAlignment="1">
      <alignment horizontal="left" vertical="top" wrapText="1"/>
    </xf>
    <xf numFmtId="0" fontId="46" fillId="10" borderId="24" xfId="0" applyFont="1" applyFill="1" applyBorder="1" applyAlignment="1">
      <alignment horizontal="left" vertical="top"/>
    </xf>
    <xf numFmtId="0" fontId="46" fillId="10" borderId="15" xfId="0" applyFont="1" applyFill="1" applyBorder="1" applyAlignment="1">
      <alignment horizontal="left" vertical="top"/>
    </xf>
    <xf numFmtId="0" fontId="22" fillId="10" borderId="23" xfId="0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/>
    </xf>
    <xf numFmtId="0" fontId="43" fillId="10" borderId="18" xfId="0" quotePrefix="1" applyFont="1" applyFill="1" applyBorder="1" applyAlignment="1">
      <alignment horizontal="center" vertical="center" wrapText="1"/>
    </xf>
    <xf numFmtId="0" fontId="43" fillId="10" borderId="26" xfId="0" quotePrefix="1" applyFont="1" applyFill="1" applyBorder="1" applyAlignment="1">
      <alignment horizontal="center" vertical="center" wrapText="1"/>
    </xf>
    <xf numFmtId="0" fontId="43" fillId="10" borderId="22" xfId="0" quotePrefix="1" applyFont="1" applyFill="1" applyBorder="1" applyAlignment="1">
      <alignment horizontal="center" vertical="center" wrapText="1"/>
    </xf>
    <xf numFmtId="0" fontId="43" fillId="10" borderId="27" xfId="0" quotePrefix="1" applyFont="1" applyFill="1" applyBorder="1" applyAlignment="1">
      <alignment horizontal="center" vertical="center" wrapText="1"/>
    </xf>
    <xf numFmtId="0" fontId="43" fillId="10" borderId="25" xfId="0" quotePrefix="1" applyFont="1" applyFill="1" applyBorder="1" applyAlignment="1">
      <alignment horizontal="center" vertical="center" wrapText="1"/>
    </xf>
    <xf numFmtId="0" fontId="43" fillId="10" borderId="28" xfId="0" quotePrefix="1" applyFont="1" applyFill="1" applyBorder="1" applyAlignment="1">
      <alignment horizontal="center" vertical="center" wrapText="1"/>
    </xf>
    <xf numFmtId="0" fontId="43" fillId="10" borderId="13" xfId="0" applyFont="1" applyFill="1" applyBorder="1" applyAlignment="1">
      <alignment horizontal="center"/>
    </xf>
    <xf numFmtId="0" fontId="43" fillId="10" borderId="29" xfId="0" applyFont="1" applyFill="1" applyBorder="1" applyAlignment="1">
      <alignment horizontal="center"/>
    </xf>
    <xf numFmtId="0" fontId="43" fillId="10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3" fillId="10" borderId="23" xfId="0" applyFont="1" applyFill="1" applyBorder="1" applyAlignment="1">
      <alignment horizontal="left" wrapText="1"/>
    </xf>
    <xf numFmtId="0" fontId="43" fillId="10" borderId="15" xfId="0" applyFont="1" applyFill="1" applyBorder="1" applyAlignment="1">
      <alignment horizontal="left" wrapText="1"/>
    </xf>
    <xf numFmtId="0" fontId="43" fillId="10" borderId="18" xfId="0" applyFont="1" applyFill="1" applyBorder="1" applyAlignment="1">
      <alignment horizontal="center" vertical="center"/>
    </xf>
    <xf numFmtId="0" fontId="43" fillId="10" borderId="26" xfId="0" applyFont="1" applyFill="1" applyBorder="1" applyAlignment="1">
      <alignment horizontal="center" vertical="center"/>
    </xf>
    <xf numFmtId="0" fontId="43" fillId="10" borderId="22" xfId="0" applyFont="1" applyFill="1" applyBorder="1" applyAlignment="1">
      <alignment horizontal="center" vertical="center"/>
    </xf>
    <xf numFmtId="0" fontId="43" fillId="10" borderId="27" xfId="0" applyFont="1" applyFill="1" applyBorder="1" applyAlignment="1">
      <alignment horizontal="center" vertical="center"/>
    </xf>
    <xf numFmtId="0" fontId="43" fillId="10" borderId="25" xfId="0" applyFont="1" applyFill="1" applyBorder="1" applyAlignment="1">
      <alignment horizontal="center" vertical="center"/>
    </xf>
    <xf numFmtId="0" fontId="43" fillId="10" borderId="28" xfId="0" applyFont="1" applyFill="1" applyBorder="1" applyAlignment="1">
      <alignment horizontal="center" vertical="center"/>
    </xf>
    <xf numFmtId="0" fontId="50" fillId="10" borderId="13" xfId="0" applyFont="1" applyFill="1" applyBorder="1" applyAlignment="1">
      <alignment horizontal="center" vertical="center"/>
    </xf>
    <xf numFmtId="0" fontId="50" fillId="10" borderId="29" xfId="0" applyFont="1" applyFill="1" applyBorder="1" applyAlignment="1">
      <alignment horizontal="center" vertical="center"/>
    </xf>
    <xf numFmtId="0" fontId="50" fillId="10" borderId="11" xfId="0" applyFont="1" applyFill="1" applyBorder="1" applyAlignment="1">
      <alignment horizontal="center" vertical="center"/>
    </xf>
    <xf numFmtId="0" fontId="49" fillId="10" borderId="23" xfId="0" applyFont="1" applyFill="1" applyBorder="1" applyAlignment="1">
      <alignment horizontal="left" wrapText="1"/>
    </xf>
    <xf numFmtId="0" fontId="49" fillId="10" borderId="15" xfId="0" applyFont="1" applyFill="1" applyBorder="1" applyAlignment="1">
      <alignment horizontal="left" wrapText="1"/>
    </xf>
    <xf numFmtId="0" fontId="43" fillId="10" borderId="1" xfId="0" applyFont="1" applyFill="1" applyBorder="1" applyAlignment="1">
      <alignment horizontal="center" vertical="center"/>
    </xf>
    <xf numFmtId="0" fontId="43" fillId="10" borderId="23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/>
    </xf>
    <xf numFmtId="0" fontId="23" fillId="10" borderId="20" xfId="0" applyFont="1" applyFill="1" applyBorder="1" applyAlignment="1">
      <alignment horizontal="left" wrapText="1"/>
    </xf>
    <xf numFmtId="0" fontId="1" fillId="10" borderId="0" xfId="0" applyFont="1" applyFill="1" applyAlignment="1">
      <alignment horizontal="right"/>
    </xf>
    <xf numFmtId="0" fontId="1" fillId="10" borderId="27" xfId="0" applyFont="1" applyFill="1" applyBorder="1" applyAlignment="1">
      <alignment horizontal="right"/>
    </xf>
    <xf numFmtId="0" fontId="51" fillId="10" borderId="23" xfId="0" applyFont="1" applyFill="1" applyBorder="1" applyAlignment="1">
      <alignment horizontal="center" vertical="top"/>
    </xf>
    <xf numFmtId="0" fontId="51" fillId="10" borderId="15" xfId="0" applyFont="1" applyFill="1" applyBorder="1" applyAlignment="1">
      <alignment horizontal="center" vertical="top"/>
    </xf>
    <xf numFmtId="0" fontId="2" fillId="10" borderId="21" xfId="0" applyFont="1" applyFill="1" applyBorder="1" applyAlignment="1">
      <alignment horizontal="center" vertical="top" wrapText="1"/>
    </xf>
    <xf numFmtId="0" fontId="2" fillId="10" borderId="21" xfId="0" applyFont="1" applyFill="1" applyBorder="1" applyAlignment="1">
      <alignment horizontal="center" vertical="top"/>
    </xf>
    <xf numFmtId="49" fontId="3" fillId="10" borderId="1" xfId="0" applyNumberFormat="1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 vertical="top" wrapText="1"/>
    </xf>
    <xf numFmtId="0" fontId="4" fillId="10" borderId="24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left" vertical="top" wrapText="1"/>
    </xf>
    <xf numFmtId="0" fontId="4" fillId="10" borderId="24" xfId="0" applyFont="1" applyFill="1" applyBorder="1" applyAlignment="1">
      <alignment horizontal="left" vertical="top"/>
    </xf>
    <xf numFmtId="0" fontId="4" fillId="10" borderId="15" xfId="0" applyFont="1" applyFill="1" applyBorder="1" applyAlignment="1">
      <alignment horizontal="left" vertical="top"/>
    </xf>
    <xf numFmtId="0" fontId="4" fillId="10" borderId="24" xfId="0" applyFont="1" applyFill="1" applyBorder="1" applyAlignment="1">
      <alignment horizontal="left" vertical="top" wrapText="1"/>
    </xf>
    <xf numFmtId="0" fontId="4" fillId="10" borderId="15" xfId="0" applyFont="1" applyFill="1" applyBorder="1" applyAlignment="1">
      <alignment horizontal="lef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1" fillId="5" borderId="23" xfId="1" applyNumberFormat="1" applyFont="1" applyFill="1" applyBorder="1" applyAlignment="1">
      <alignment horizontal="center" wrapText="1"/>
    </xf>
    <xf numFmtId="4" fontId="1" fillId="5" borderId="30" xfId="1" applyNumberFormat="1" applyFont="1" applyFill="1" applyBorder="1" applyAlignment="1">
      <alignment horizontal="center" wrapText="1"/>
    </xf>
    <xf numFmtId="0" fontId="1" fillId="0" borderId="3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37" fillId="0" borderId="0" xfId="1" applyFont="1" applyAlignment="1">
      <alignment horizontal="center" wrapText="1"/>
    </xf>
    <xf numFmtId="0" fontId="1" fillId="0" borderId="32" xfId="1" applyFont="1" applyBorder="1" applyAlignment="1">
      <alignment horizontal="center" vertical="top" wrapText="1"/>
    </xf>
    <xf numFmtId="0" fontId="0" fillId="0" borderId="37" xfId="0" applyBorder="1"/>
    <xf numFmtId="0" fontId="4" fillId="0" borderId="8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4" fontId="1" fillId="0" borderId="23" xfId="1" applyNumberFormat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4" fontId="1" fillId="0" borderId="1" xfId="1" applyNumberFormat="1" applyFont="1" applyBorder="1" applyAlignment="1">
      <alignment wrapText="1"/>
    </xf>
    <xf numFmtId="4" fontId="35" fillId="0" borderId="19" xfId="1" applyNumberFormat="1" applyFont="1" applyBorder="1" applyAlignment="1">
      <alignment horizontal="center" wrapText="1"/>
    </xf>
    <xf numFmtId="0" fontId="35" fillId="0" borderId="38" xfId="1" applyFont="1" applyBorder="1" applyAlignment="1">
      <alignment horizontal="center" wrapText="1"/>
    </xf>
    <xf numFmtId="0" fontId="1" fillId="0" borderId="0" xfId="1" applyFont="1" applyAlignment="1" applyProtection="1">
      <protection locked="0"/>
    </xf>
    <xf numFmtId="0" fontId="0" fillId="0" borderId="0" xfId="0" applyAlignment="1"/>
    <xf numFmtId="4" fontId="1" fillId="5" borderId="19" xfId="1" applyNumberFormat="1" applyFont="1" applyFill="1" applyBorder="1" applyAlignment="1">
      <alignment horizontal="center" wrapText="1"/>
    </xf>
    <xf numFmtId="4" fontId="1" fillId="5" borderId="31" xfId="1" applyNumberFormat="1" applyFont="1" applyFill="1" applyBorder="1" applyAlignment="1">
      <alignment horizontal="center" wrapText="1"/>
    </xf>
    <xf numFmtId="0" fontId="35" fillId="0" borderId="32" xfId="1" applyFont="1" applyBorder="1" applyAlignment="1">
      <alignment horizontal="center" vertical="top" wrapText="1"/>
    </xf>
    <xf numFmtId="0" fontId="36" fillId="0" borderId="37" xfId="0" applyFont="1" applyBorder="1"/>
    <xf numFmtId="0" fontId="38" fillId="0" borderId="8" xfId="1" applyFont="1" applyBorder="1" applyAlignment="1">
      <alignment horizontal="center" vertical="top" wrapText="1"/>
    </xf>
    <xf numFmtId="0" fontId="38" fillId="0" borderId="7" xfId="1" applyFont="1" applyBorder="1" applyAlignment="1">
      <alignment horizontal="center" vertical="top" wrapText="1"/>
    </xf>
    <xf numFmtId="0" fontId="35" fillId="0" borderId="23" xfId="1" applyFont="1" applyBorder="1" applyAlignment="1">
      <alignment horizontal="center" wrapText="1"/>
    </xf>
    <xf numFmtId="0" fontId="35" fillId="0" borderId="15" xfId="1" applyFont="1" applyBorder="1" applyAlignment="1">
      <alignment horizontal="center" wrapText="1"/>
    </xf>
    <xf numFmtId="4" fontId="35" fillId="0" borderId="1" xfId="1" applyNumberFormat="1" applyFont="1" applyBorder="1" applyAlignment="1">
      <alignment wrapText="1"/>
    </xf>
    <xf numFmtId="0" fontId="35" fillId="0" borderId="5" xfId="1" applyFont="1" applyBorder="1" applyAlignment="1">
      <alignment wrapText="1"/>
    </xf>
    <xf numFmtId="0" fontId="35" fillId="0" borderId="19" xfId="1" applyFont="1" applyBorder="1" applyAlignment="1">
      <alignment horizontal="center" wrapText="1"/>
    </xf>
    <xf numFmtId="4" fontId="35" fillId="0" borderId="3" xfId="1" applyNumberFormat="1" applyFont="1" applyBorder="1" applyAlignment="1">
      <alignment wrapText="1"/>
    </xf>
    <xf numFmtId="0" fontId="35" fillId="0" borderId="2" xfId="1" applyFont="1" applyBorder="1" applyAlignment="1">
      <alignment wrapText="1"/>
    </xf>
    <xf numFmtId="4" fontId="35" fillId="0" borderId="19" xfId="1" applyNumberFormat="1" applyFont="1" applyBorder="1" applyAlignment="1">
      <alignment wrapText="1"/>
    </xf>
    <xf numFmtId="4" fontId="35" fillId="0" borderId="31" xfId="1" applyNumberFormat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0" borderId="0" xfId="1" applyFont="1" applyBorder="1" applyAlignment="1"/>
    <xf numFmtId="0" fontId="1" fillId="0" borderId="0" xfId="1" applyFont="1" applyAlignment="1">
      <alignment horizontal="center"/>
    </xf>
    <xf numFmtId="0" fontId="26" fillId="0" borderId="0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2" fontId="7" fillId="0" borderId="0" xfId="1" applyNumberFormat="1" applyFont="1" applyBorder="1" applyAlignment="1"/>
    <xf numFmtId="2" fontId="0" fillId="0" borderId="0" xfId="0" applyNumberFormat="1" applyAlignment="1"/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7" fillId="0" borderId="0" xfId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24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15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1" applyFont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7" fillId="11" borderId="0" xfId="1" applyFill="1" applyAlignment="1">
      <alignment horizontal="center"/>
    </xf>
    <xf numFmtId="0" fontId="19" fillId="0" borderId="0" xfId="1" applyFont="1" applyAlignment="1">
      <alignment horizontal="center"/>
    </xf>
    <xf numFmtId="0" fontId="7" fillId="0" borderId="1" xfId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0" fontId="28" fillId="0" borderId="13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215~1\AppData\Local\Temp\21%20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.зад."/>
      <sheetName val="проверка 2017"/>
      <sheetName val="проверка 2018 "/>
      <sheetName val="проверка 2019"/>
      <sheetName val="прил.1+2"/>
      <sheetName val="прил.3"/>
      <sheetName val="прил.4"/>
      <sheetName val="прил.5"/>
      <sheetName val="прил.6"/>
      <sheetName val="свод "/>
      <sheetName val="проверка 2018"/>
    </sheetNames>
    <sheetDataSet>
      <sheetData sheetId="0" refreshError="1"/>
      <sheetData sheetId="1" refreshError="1">
        <row r="17">
          <cell r="H17">
            <v>10007.64</v>
          </cell>
          <cell r="I17">
            <v>36.520000000000003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5"/>
  <sheetViews>
    <sheetView view="pageBreakPreview" zoomScaleNormal="100" zoomScaleSheetLayoutView="100" workbookViewId="0">
      <selection activeCell="A22" sqref="A22:P22"/>
    </sheetView>
  </sheetViews>
  <sheetFormatPr defaultColWidth="9.140625" defaultRowHeight="15"/>
  <cols>
    <col min="1" max="1" width="19.140625" style="207" customWidth="1"/>
    <col min="2" max="2" width="3.85546875" style="207" customWidth="1"/>
    <col min="3" max="3" width="8.7109375" style="207" customWidth="1"/>
    <col min="4" max="4" width="7.5703125" style="207" customWidth="1"/>
    <col min="5" max="5" width="9.140625" style="207" customWidth="1"/>
    <col min="6" max="7" width="7.5703125" style="207" customWidth="1"/>
    <col min="8" max="8" width="24.7109375" style="207" customWidth="1"/>
    <col min="9" max="9" width="6.85546875" style="207" customWidth="1"/>
    <col min="10" max="10" width="6" style="207" customWidth="1"/>
    <col min="11" max="13" width="9.140625" style="207" customWidth="1"/>
    <col min="14" max="14" width="12.5703125" style="207" customWidth="1"/>
    <col min="15" max="15" width="10.140625" style="207" customWidth="1"/>
    <col min="16" max="16" width="10.85546875" style="207" bestFit="1" customWidth="1"/>
    <col min="17" max="16384" width="9.140625" style="207"/>
  </cols>
  <sheetData>
    <row r="1" spans="1:16">
      <c r="L1" s="207" t="s">
        <v>6</v>
      </c>
    </row>
    <row r="2" spans="1:16">
      <c r="L2" s="207" t="s">
        <v>10</v>
      </c>
    </row>
    <row r="3" spans="1:16">
      <c r="L3" s="207" t="s">
        <v>11</v>
      </c>
    </row>
    <row r="4" spans="1:16">
      <c r="L4" s="207" t="s">
        <v>170</v>
      </c>
    </row>
    <row r="5" spans="1:16">
      <c r="L5" s="265" t="s">
        <v>332</v>
      </c>
      <c r="M5" s="265"/>
      <c r="N5" s="265"/>
    </row>
    <row r="6" spans="1:16" ht="6.75" customHeight="1"/>
    <row r="7" spans="1:16" ht="5.25" customHeight="1"/>
    <row r="8" spans="1:16">
      <c r="A8" s="322" t="s">
        <v>342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</row>
    <row r="9" spans="1:16">
      <c r="A9" s="322" t="s">
        <v>333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</row>
    <row r="10" spans="1:16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326" t="s">
        <v>5</v>
      </c>
      <c r="P10" s="326"/>
    </row>
    <row r="11" spans="1:16">
      <c r="M11" s="429" t="s">
        <v>3</v>
      </c>
      <c r="N11" s="430"/>
      <c r="O11" s="435" t="s">
        <v>4</v>
      </c>
      <c r="P11" s="435"/>
    </row>
    <row r="12" spans="1:16">
      <c r="M12" s="429" t="s">
        <v>312</v>
      </c>
      <c r="N12" s="430"/>
      <c r="O12" s="436">
        <v>44207</v>
      </c>
      <c r="P12" s="326"/>
    </row>
    <row r="13" spans="1:16">
      <c r="A13" s="207" t="s">
        <v>0</v>
      </c>
      <c r="L13" s="429" t="s">
        <v>313</v>
      </c>
      <c r="M13" s="429"/>
      <c r="N13" s="430"/>
      <c r="O13" s="328"/>
      <c r="P13" s="330"/>
    </row>
    <row r="14" spans="1:16" ht="28.15" customHeight="1">
      <c r="A14" s="428" t="s">
        <v>341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9"/>
      <c r="N14" s="430"/>
      <c r="O14" s="328"/>
      <c r="P14" s="330"/>
    </row>
    <row r="15" spans="1:16">
      <c r="A15" s="208" t="s">
        <v>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45"/>
      <c r="N15" s="267" t="s">
        <v>2</v>
      </c>
      <c r="O15" s="361" t="s">
        <v>256</v>
      </c>
      <c r="P15" s="361"/>
    </row>
    <row r="16" spans="1:16">
      <c r="A16" s="349" t="s">
        <v>47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245"/>
      <c r="N16" s="267" t="s">
        <v>2</v>
      </c>
      <c r="O16" s="361" t="s">
        <v>257</v>
      </c>
      <c r="P16" s="361"/>
    </row>
    <row r="17" spans="1:16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245"/>
      <c r="N17" s="267" t="s">
        <v>2</v>
      </c>
      <c r="O17" s="361" t="s">
        <v>258</v>
      </c>
      <c r="P17" s="361"/>
    </row>
    <row r="18" spans="1:16" ht="17.25" customHeight="1">
      <c r="A18" s="433" t="s">
        <v>326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245"/>
      <c r="N18" s="267" t="s">
        <v>2</v>
      </c>
      <c r="O18" s="431"/>
      <c r="P18" s="432"/>
    </row>
    <row r="19" spans="1:16" ht="8.25" customHeight="1"/>
    <row r="20" spans="1:16" ht="5.25" customHeight="1"/>
    <row r="21" spans="1:16">
      <c r="A21" s="322" t="s">
        <v>314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</row>
    <row r="22" spans="1:16" ht="12.75" customHeight="1">
      <c r="A22" s="322" t="s">
        <v>171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</row>
    <row r="23" spans="1:16" ht="7.5" customHeight="1"/>
    <row r="24" spans="1:16" ht="15" customHeight="1">
      <c r="A24" s="207" t="s">
        <v>7</v>
      </c>
      <c r="E24" s="348" t="s">
        <v>41</v>
      </c>
      <c r="F24" s="348"/>
      <c r="G24" s="348"/>
      <c r="H24" s="348"/>
      <c r="I24" s="348"/>
      <c r="J24" s="348"/>
      <c r="K24" s="348"/>
      <c r="L24" s="348"/>
      <c r="M24" s="342" t="s">
        <v>315</v>
      </c>
      <c r="N24" s="343"/>
      <c r="O24" s="326" t="s">
        <v>284</v>
      </c>
      <c r="P24" s="326"/>
    </row>
    <row r="25" spans="1:16">
      <c r="A25" s="349" t="s">
        <v>40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2"/>
      <c r="N25" s="343"/>
      <c r="O25" s="326"/>
      <c r="P25" s="326"/>
    </row>
    <row r="26" spans="1:16" ht="15" customHeight="1">
      <c r="A26" s="207" t="s">
        <v>8</v>
      </c>
      <c r="M26" s="342"/>
      <c r="N26" s="343"/>
      <c r="O26" s="326"/>
      <c r="P26" s="326"/>
    </row>
    <row r="27" spans="1:16">
      <c r="A27" s="349" t="s">
        <v>42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6" ht="4.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6">
      <c r="A29" s="207" t="s">
        <v>9</v>
      </c>
    </row>
    <row r="30" spans="1:16" ht="5.25" customHeight="1"/>
    <row r="31" spans="1:16">
      <c r="A31" s="207" t="s">
        <v>236</v>
      </c>
    </row>
    <row r="32" spans="1:16" ht="7.5" customHeight="1"/>
    <row r="33" spans="1:17" s="268" customFormat="1" ht="73.5" customHeight="1">
      <c r="A33" s="350" t="s">
        <v>275</v>
      </c>
      <c r="B33" s="350"/>
      <c r="C33" s="351" t="s">
        <v>310</v>
      </c>
      <c r="D33" s="352"/>
      <c r="E33" s="353"/>
      <c r="F33" s="350" t="s">
        <v>318</v>
      </c>
      <c r="G33" s="350"/>
      <c r="H33" s="350" t="s">
        <v>15</v>
      </c>
      <c r="I33" s="350"/>
      <c r="J33" s="350"/>
      <c r="K33" s="350"/>
      <c r="L33" s="350"/>
      <c r="M33" s="351" t="s">
        <v>16</v>
      </c>
      <c r="N33" s="352"/>
      <c r="O33" s="353"/>
      <c r="P33" s="338" t="s">
        <v>316</v>
      </c>
      <c r="Q33" s="338"/>
    </row>
    <row r="34" spans="1:17" s="269" customFormat="1" ht="24.75" customHeight="1">
      <c r="A34" s="350"/>
      <c r="B34" s="350"/>
      <c r="C34" s="350" t="s">
        <v>276</v>
      </c>
      <c r="D34" s="350" t="s">
        <v>276</v>
      </c>
      <c r="E34" s="350" t="s">
        <v>276</v>
      </c>
      <c r="F34" s="350" t="s">
        <v>276</v>
      </c>
      <c r="G34" s="350" t="s">
        <v>276</v>
      </c>
      <c r="H34" s="350" t="s">
        <v>277</v>
      </c>
      <c r="I34" s="350"/>
      <c r="J34" s="350" t="s">
        <v>238</v>
      </c>
      <c r="K34" s="350"/>
      <c r="L34" s="350"/>
      <c r="M34" s="344" t="s">
        <v>334</v>
      </c>
      <c r="N34" s="344" t="s">
        <v>335</v>
      </c>
      <c r="O34" s="344" t="s">
        <v>336</v>
      </c>
      <c r="P34" s="338" t="s">
        <v>223</v>
      </c>
      <c r="Q34" s="340" t="s">
        <v>224</v>
      </c>
    </row>
    <row r="35" spans="1:17" s="269" customFormat="1" ht="19.899999999999999" customHeight="1">
      <c r="A35" s="350"/>
      <c r="B35" s="350"/>
      <c r="C35" s="350"/>
      <c r="D35" s="350"/>
      <c r="E35" s="350"/>
      <c r="F35" s="350"/>
      <c r="G35" s="350"/>
      <c r="H35" s="350"/>
      <c r="I35" s="350"/>
      <c r="J35" s="425" t="s">
        <v>278</v>
      </c>
      <c r="K35" s="426"/>
      <c r="L35" s="270" t="s">
        <v>279</v>
      </c>
      <c r="M35" s="345"/>
      <c r="N35" s="345"/>
      <c r="O35" s="345"/>
      <c r="P35" s="338"/>
      <c r="Q35" s="341"/>
    </row>
    <row r="36" spans="1:17" s="268" customFormat="1" ht="11.25" customHeight="1">
      <c r="A36" s="424">
        <v>1</v>
      </c>
      <c r="B36" s="424"/>
      <c r="C36" s="271">
        <v>2</v>
      </c>
      <c r="D36" s="271">
        <v>3</v>
      </c>
      <c r="E36" s="271">
        <v>4</v>
      </c>
      <c r="F36" s="271">
        <v>5</v>
      </c>
      <c r="G36" s="271">
        <v>6</v>
      </c>
      <c r="H36" s="424">
        <v>7</v>
      </c>
      <c r="I36" s="424"/>
      <c r="J36" s="425">
        <v>8</v>
      </c>
      <c r="K36" s="426"/>
      <c r="L36" s="271">
        <v>9</v>
      </c>
      <c r="M36" s="271">
        <v>10</v>
      </c>
      <c r="N36" s="271">
        <v>11</v>
      </c>
      <c r="O36" s="271">
        <v>12</v>
      </c>
      <c r="P36" s="271">
        <v>13</v>
      </c>
      <c r="Q36" s="271">
        <v>14</v>
      </c>
    </row>
    <row r="37" spans="1:17" s="268" customFormat="1" ht="36" customHeight="1">
      <c r="A37" s="399" t="s">
        <v>264</v>
      </c>
      <c r="B37" s="400"/>
      <c r="C37" s="405"/>
      <c r="D37" s="405"/>
      <c r="E37" s="405"/>
      <c r="F37" s="408" t="s">
        <v>43</v>
      </c>
      <c r="G37" s="405"/>
      <c r="H37" s="411" t="s">
        <v>309</v>
      </c>
      <c r="I37" s="412"/>
      <c r="J37" s="413" t="s">
        <v>49</v>
      </c>
      <c r="K37" s="414"/>
      <c r="L37" s="419">
        <v>744</v>
      </c>
      <c r="M37" s="272" t="s">
        <v>280</v>
      </c>
      <c r="N37" s="272" t="s">
        <v>280</v>
      </c>
      <c r="O37" s="272" t="s">
        <v>280</v>
      </c>
      <c r="P37" s="273"/>
      <c r="Q37" s="274"/>
    </row>
    <row r="38" spans="1:17" s="268" customFormat="1" ht="16.5" customHeight="1">
      <c r="A38" s="401"/>
      <c r="B38" s="402"/>
      <c r="C38" s="406"/>
      <c r="D38" s="406"/>
      <c r="E38" s="406"/>
      <c r="F38" s="409"/>
      <c r="G38" s="406"/>
      <c r="H38" s="422" t="s">
        <v>308</v>
      </c>
      <c r="I38" s="423"/>
      <c r="J38" s="415"/>
      <c r="K38" s="416"/>
      <c r="L38" s="420"/>
      <c r="M38" s="275" t="s">
        <v>281</v>
      </c>
      <c r="N38" s="275" t="s">
        <v>281</v>
      </c>
      <c r="O38" s="275" t="s">
        <v>281</v>
      </c>
      <c r="P38" s="273"/>
      <c r="Q38" s="274"/>
    </row>
    <row r="39" spans="1:17" s="268" customFormat="1">
      <c r="A39" s="403"/>
      <c r="B39" s="404"/>
      <c r="C39" s="407"/>
      <c r="D39" s="407"/>
      <c r="E39" s="407"/>
      <c r="F39" s="410"/>
      <c r="G39" s="407"/>
      <c r="H39" s="422" t="s">
        <v>282</v>
      </c>
      <c r="I39" s="423"/>
      <c r="J39" s="417"/>
      <c r="K39" s="418"/>
      <c r="L39" s="421"/>
      <c r="M39" s="275" t="s">
        <v>281</v>
      </c>
      <c r="N39" s="275" t="s">
        <v>281</v>
      </c>
      <c r="O39" s="275" t="s">
        <v>281</v>
      </c>
      <c r="P39" s="276"/>
      <c r="Q39" s="277"/>
    </row>
    <row r="40" spans="1:17" ht="30" hidden="1" customHeight="1">
      <c r="A40" s="355"/>
      <c r="B40" s="356"/>
      <c r="C40" s="278"/>
      <c r="D40" s="278"/>
      <c r="E40" s="278"/>
      <c r="F40" s="279" t="s">
        <v>44</v>
      </c>
      <c r="G40" s="278"/>
      <c r="H40" s="357" t="s">
        <v>48</v>
      </c>
      <c r="I40" s="358"/>
      <c r="J40" s="359" t="s">
        <v>49</v>
      </c>
      <c r="K40" s="360"/>
      <c r="L40" s="280">
        <v>744</v>
      </c>
      <c r="M40" s="281" t="s">
        <v>167</v>
      </c>
      <c r="N40" s="281" t="s">
        <v>167</v>
      </c>
      <c r="O40" s="281" t="s">
        <v>167</v>
      </c>
      <c r="P40" s="273"/>
      <c r="Q40" s="274"/>
    </row>
    <row r="41" spans="1:17" hidden="1">
      <c r="A41" s="328"/>
      <c r="B41" s="330"/>
      <c r="C41" s="274"/>
      <c r="D41" s="274"/>
      <c r="E41" s="274"/>
      <c r="F41" s="274"/>
      <c r="G41" s="274"/>
      <c r="H41" s="328"/>
      <c r="I41" s="330"/>
      <c r="J41" s="328"/>
      <c r="K41" s="330"/>
      <c r="L41" s="274"/>
      <c r="M41" s="274"/>
      <c r="N41" s="274"/>
      <c r="O41" s="328"/>
      <c r="P41" s="427"/>
    </row>
    <row r="42" spans="1:17" hidden="1">
      <c r="A42" s="328"/>
      <c r="B42" s="330"/>
      <c r="C42" s="274"/>
      <c r="D42" s="274"/>
      <c r="E42" s="274"/>
      <c r="F42" s="274"/>
      <c r="G42" s="274"/>
      <c r="H42" s="328"/>
      <c r="I42" s="330"/>
      <c r="J42" s="328"/>
      <c r="K42" s="330"/>
      <c r="L42" s="274"/>
      <c r="M42" s="274"/>
      <c r="N42" s="274"/>
      <c r="O42" s="328"/>
      <c r="P42" s="330"/>
    </row>
    <row r="43" spans="1:17" hidden="1">
      <c r="A43" s="328"/>
      <c r="B43" s="330"/>
      <c r="C43" s="274"/>
      <c r="D43" s="274"/>
      <c r="E43" s="274"/>
      <c r="F43" s="274"/>
      <c r="G43" s="274"/>
      <c r="H43" s="328"/>
      <c r="I43" s="330"/>
      <c r="J43" s="328"/>
      <c r="K43" s="330"/>
      <c r="L43" s="274"/>
      <c r="M43" s="274"/>
      <c r="N43" s="274"/>
      <c r="O43" s="328"/>
      <c r="P43" s="330"/>
    </row>
    <row r="44" spans="1:17" hidden="1">
      <c r="A44" s="328"/>
      <c r="B44" s="330"/>
      <c r="C44" s="274"/>
      <c r="D44" s="274"/>
      <c r="E44" s="274"/>
      <c r="F44" s="274"/>
      <c r="G44" s="274"/>
      <c r="H44" s="328"/>
      <c r="I44" s="330"/>
      <c r="J44" s="328"/>
      <c r="K44" s="330"/>
      <c r="L44" s="274"/>
      <c r="M44" s="274"/>
      <c r="N44" s="274"/>
      <c r="O44" s="328"/>
      <c r="P44" s="330"/>
    </row>
    <row r="45" spans="1:17" hidden="1">
      <c r="A45" s="328"/>
      <c r="B45" s="330"/>
      <c r="C45" s="274"/>
      <c r="D45" s="274"/>
      <c r="E45" s="274"/>
      <c r="F45" s="274"/>
      <c r="G45" s="274"/>
      <c r="H45" s="328"/>
      <c r="I45" s="330"/>
      <c r="J45" s="328"/>
      <c r="K45" s="330"/>
      <c r="L45" s="274"/>
      <c r="M45" s="274"/>
      <c r="N45" s="274"/>
      <c r="O45" s="328"/>
      <c r="P45" s="330"/>
    </row>
    <row r="46" spans="1:17" hidden="1">
      <c r="A46" s="328"/>
      <c r="B46" s="330"/>
      <c r="C46" s="274"/>
      <c r="D46" s="274"/>
      <c r="E46" s="274"/>
      <c r="F46" s="274"/>
      <c r="G46" s="274"/>
      <c r="H46" s="328"/>
      <c r="I46" s="330"/>
      <c r="J46" s="328"/>
      <c r="K46" s="330"/>
      <c r="L46" s="274"/>
      <c r="M46" s="274"/>
      <c r="N46" s="274"/>
      <c r="O46" s="328"/>
      <c r="P46" s="330"/>
    </row>
    <row r="47" spans="1:17" ht="7.5" customHeight="1"/>
    <row r="49" spans="1:18" hidden="1">
      <c r="C49" s="398"/>
      <c r="D49" s="398"/>
    </row>
    <row r="50" spans="1:18" ht="4.5" customHeight="1">
      <c r="D50" s="264"/>
    </row>
    <row r="51" spans="1:18">
      <c r="A51" s="207" t="s">
        <v>20</v>
      </c>
    </row>
    <row r="52" spans="1:18" ht="5.25" customHeight="1"/>
    <row r="53" spans="1:18" ht="66.75" customHeight="1">
      <c r="A53" s="391" t="s">
        <v>12</v>
      </c>
      <c r="B53" s="392"/>
      <c r="C53" s="354" t="s">
        <v>321</v>
      </c>
      <c r="D53" s="346"/>
      <c r="E53" s="347"/>
      <c r="F53" s="338" t="s">
        <v>317</v>
      </c>
      <c r="G53" s="338"/>
      <c r="H53" s="338" t="s">
        <v>18</v>
      </c>
      <c r="I53" s="338"/>
      <c r="J53" s="338"/>
      <c r="K53" s="338" t="s">
        <v>19</v>
      </c>
      <c r="L53" s="338"/>
      <c r="M53" s="338"/>
      <c r="N53" s="346" t="s">
        <v>319</v>
      </c>
      <c r="O53" s="346"/>
      <c r="P53" s="347"/>
      <c r="Q53" s="338" t="s">
        <v>320</v>
      </c>
      <c r="R53" s="338"/>
    </row>
    <row r="54" spans="1:18" ht="42" customHeight="1">
      <c r="A54" s="393"/>
      <c r="B54" s="394"/>
      <c r="C54" s="350" t="s">
        <v>276</v>
      </c>
      <c r="D54" s="350" t="s">
        <v>276</v>
      </c>
      <c r="E54" s="350" t="s">
        <v>276</v>
      </c>
      <c r="F54" s="350" t="s">
        <v>276</v>
      </c>
      <c r="G54" s="350" t="s">
        <v>276</v>
      </c>
      <c r="H54" s="338" t="s">
        <v>311</v>
      </c>
      <c r="I54" s="338" t="s">
        <v>238</v>
      </c>
      <c r="J54" s="338"/>
      <c r="K54" s="344" t="s">
        <v>334</v>
      </c>
      <c r="L54" s="344" t="s">
        <v>335</v>
      </c>
      <c r="M54" s="344" t="s">
        <v>336</v>
      </c>
      <c r="N54" s="344" t="s">
        <v>334</v>
      </c>
      <c r="O54" s="344" t="s">
        <v>335</v>
      </c>
      <c r="P54" s="344" t="s">
        <v>336</v>
      </c>
      <c r="Q54" s="339" t="s">
        <v>223</v>
      </c>
      <c r="R54" s="340" t="s">
        <v>224</v>
      </c>
    </row>
    <row r="55" spans="1:18" ht="29.25" customHeight="1">
      <c r="A55" s="395"/>
      <c r="B55" s="396"/>
      <c r="C55" s="350"/>
      <c r="D55" s="350"/>
      <c r="E55" s="350"/>
      <c r="F55" s="350"/>
      <c r="G55" s="350"/>
      <c r="H55" s="338"/>
      <c r="I55" s="282" t="s">
        <v>322</v>
      </c>
      <c r="J55" s="270" t="s">
        <v>279</v>
      </c>
      <c r="K55" s="345"/>
      <c r="L55" s="345"/>
      <c r="M55" s="345"/>
      <c r="N55" s="345"/>
      <c r="O55" s="345"/>
      <c r="P55" s="345"/>
      <c r="Q55" s="339"/>
      <c r="R55" s="341"/>
    </row>
    <row r="56" spans="1:18">
      <c r="A56" s="359">
        <v>1</v>
      </c>
      <c r="B56" s="360"/>
      <c r="C56" s="283">
        <v>2</v>
      </c>
      <c r="D56" s="283">
        <v>3</v>
      </c>
      <c r="E56" s="283">
        <v>4</v>
      </c>
      <c r="F56" s="283">
        <v>5</v>
      </c>
      <c r="G56" s="283">
        <v>6</v>
      </c>
      <c r="H56" s="283">
        <v>7</v>
      </c>
      <c r="I56" s="283">
        <v>8</v>
      </c>
      <c r="J56" s="283">
        <v>9</v>
      </c>
      <c r="K56" s="283">
        <v>10</v>
      </c>
      <c r="L56" s="283">
        <v>11</v>
      </c>
      <c r="M56" s="283">
        <v>12</v>
      </c>
      <c r="N56" s="283">
        <v>13</v>
      </c>
      <c r="O56" s="283">
        <v>14</v>
      </c>
      <c r="P56" s="283">
        <v>15</v>
      </c>
      <c r="Q56" s="284">
        <v>16</v>
      </c>
      <c r="R56" s="285">
        <v>17</v>
      </c>
    </row>
    <row r="57" spans="1:18" ht="24.75" customHeight="1">
      <c r="A57" s="390" t="str">
        <f>A37</f>
        <v>801012О.99.0.БА81БА80000</v>
      </c>
      <c r="B57" s="356"/>
      <c r="C57" s="278"/>
      <c r="D57" s="278"/>
      <c r="E57" s="278"/>
      <c r="F57" s="278" t="s">
        <v>43</v>
      </c>
      <c r="G57" s="278"/>
      <c r="H57" s="279" t="s">
        <v>45</v>
      </c>
      <c r="I57" s="286" t="s">
        <v>46</v>
      </c>
      <c r="J57" s="278">
        <v>792</v>
      </c>
      <c r="K57" s="278">
        <f>'проверка 2020'!I4</f>
        <v>70</v>
      </c>
      <c r="L57" s="278">
        <f>'проверка 2021'!I4</f>
        <v>73</v>
      </c>
      <c r="M57" s="278">
        <f>'проверка 2022'!I4</f>
        <v>79</v>
      </c>
      <c r="N57" s="278"/>
      <c r="O57" s="278"/>
      <c r="P57" s="278"/>
      <c r="Q57" s="287">
        <v>0.05</v>
      </c>
      <c r="R57" s="274"/>
    </row>
    <row r="58" spans="1:18" ht="27" hidden="1" customHeight="1">
      <c r="A58" s="390">
        <f>A40</f>
        <v>0</v>
      </c>
      <c r="B58" s="356"/>
      <c r="C58" s="278"/>
      <c r="D58" s="278"/>
      <c r="E58" s="278"/>
      <c r="F58" s="279" t="s">
        <v>44</v>
      </c>
      <c r="G58" s="278"/>
      <c r="H58" s="279" t="s">
        <v>45</v>
      </c>
      <c r="I58" s="286" t="s">
        <v>46</v>
      </c>
      <c r="J58" s="278">
        <v>792</v>
      </c>
      <c r="K58" s="278"/>
      <c r="L58" s="278"/>
      <c r="M58" s="278"/>
      <c r="N58" s="278"/>
      <c r="O58" s="286"/>
      <c r="P58" s="286"/>
      <c r="Q58" s="273"/>
      <c r="R58" s="274"/>
    </row>
    <row r="59" spans="1:18" hidden="1">
      <c r="A59" s="286"/>
      <c r="B59" s="286"/>
      <c r="C59" s="278"/>
      <c r="D59" s="278"/>
      <c r="E59" s="278"/>
      <c r="F59" s="278"/>
      <c r="G59" s="278"/>
      <c r="H59" s="286"/>
      <c r="I59" s="286"/>
      <c r="J59" s="278"/>
      <c r="K59" s="278"/>
      <c r="L59" s="278"/>
      <c r="M59" s="278"/>
      <c r="N59" s="278"/>
      <c r="O59" s="288"/>
      <c r="P59" s="289"/>
    </row>
    <row r="60" spans="1:18" hidden="1">
      <c r="A60" s="290"/>
      <c r="B60" s="290"/>
      <c r="C60" s="274"/>
      <c r="D60" s="274"/>
      <c r="E60" s="274"/>
      <c r="F60" s="274"/>
      <c r="G60" s="274"/>
      <c r="H60" s="290"/>
      <c r="I60" s="290"/>
      <c r="J60" s="274"/>
      <c r="K60" s="274"/>
      <c r="L60" s="274"/>
      <c r="M60" s="274"/>
      <c r="N60" s="274"/>
      <c r="O60" s="291"/>
      <c r="P60" s="292"/>
    </row>
    <row r="61" spans="1:18" hidden="1">
      <c r="A61" s="290"/>
      <c r="B61" s="290"/>
      <c r="C61" s="274"/>
      <c r="D61" s="274"/>
      <c r="E61" s="274"/>
      <c r="F61" s="274"/>
      <c r="G61" s="274"/>
      <c r="H61" s="290"/>
      <c r="I61" s="290"/>
      <c r="J61" s="274"/>
      <c r="K61" s="274"/>
      <c r="L61" s="274"/>
      <c r="M61" s="274"/>
      <c r="N61" s="274"/>
      <c r="O61" s="291"/>
      <c r="P61" s="292"/>
    </row>
    <row r="62" spans="1:18" hidden="1">
      <c r="A62" s="290"/>
      <c r="B62" s="290"/>
      <c r="C62" s="274"/>
      <c r="D62" s="274"/>
      <c r="E62" s="274"/>
      <c r="F62" s="274"/>
      <c r="G62" s="274"/>
      <c r="H62" s="290"/>
      <c r="I62" s="290"/>
      <c r="J62" s="274"/>
      <c r="K62" s="274"/>
      <c r="L62" s="274"/>
      <c r="M62" s="274"/>
      <c r="N62" s="274"/>
      <c r="O62" s="291"/>
      <c r="P62" s="292"/>
    </row>
    <row r="63" spans="1:18" hidden="1">
      <c r="A63" s="290"/>
      <c r="B63" s="290"/>
      <c r="C63" s="274"/>
      <c r="D63" s="274"/>
      <c r="E63" s="274"/>
      <c r="F63" s="274"/>
      <c r="G63" s="274"/>
      <c r="H63" s="290"/>
      <c r="I63" s="290"/>
      <c r="J63" s="274"/>
      <c r="K63" s="274"/>
      <c r="L63" s="274"/>
      <c r="M63" s="274"/>
      <c r="N63" s="274"/>
      <c r="O63" s="291"/>
      <c r="P63" s="292"/>
    </row>
    <row r="64" spans="1:18" hidden="1">
      <c r="A64" s="290"/>
      <c r="B64" s="290"/>
      <c r="C64" s="274"/>
      <c r="D64" s="274"/>
      <c r="E64" s="274"/>
      <c r="F64" s="274"/>
      <c r="G64" s="274"/>
      <c r="H64" s="290"/>
      <c r="I64" s="290"/>
      <c r="J64" s="274"/>
      <c r="K64" s="274"/>
      <c r="L64" s="274"/>
      <c r="M64" s="274"/>
      <c r="N64" s="274"/>
      <c r="O64" s="291"/>
      <c r="P64" s="292"/>
    </row>
    <row r="65" spans="1:16" ht="6" customHeight="1"/>
    <row r="66" spans="1:16" s="208" customFormat="1"/>
    <row r="67" spans="1:16" s="208" customFormat="1" hidden="1">
      <c r="C67" s="398"/>
      <c r="D67" s="398"/>
    </row>
    <row r="68" spans="1:16" ht="6" customHeight="1">
      <c r="D68" s="264"/>
    </row>
    <row r="69" spans="1:16">
      <c r="A69" s="207" t="s">
        <v>327</v>
      </c>
    </row>
    <row r="70" spans="1:16" ht="8.25" customHeight="1"/>
    <row r="71" spans="1:16">
      <c r="A71" s="326" t="s">
        <v>25</v>
      </c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</row>
    <row r="72" spans="1:16">
      <c r="A72" s="293" t="s">
        <v>21</v>
      </c>
      <c r="B72" s="326" t="s">
        <v>22</v>
      </c>
      <c r="C72" s="326"/>
      <c r="D72" s="326"/>
      <c r="E72" s="293" t="s">
        <v>23</v>
      </c>
      <c r="F72" s="293" t="s">
        <v>24</v>
      </c>
      <c r="G72" s="326" t="s">
        <v>17</v>
      </c>
      <c r="H72" s="326"/>
      <c r="I72" s="326"/>
      <c r="J72" s="326"/>
      <c r="K72" s="326"/>
      <c r="L72" s="326"/>
      <c r="M72" s="326"/>
      <c r="N72" s="326"/>
      <c r="O72" s="326"/>
      <c r="P72" s="326"/>
    </row>
    <row r="73" spans="1:16" s="294" customFormat="1" ht="7.5">
      <c r="A73" s="285">
        <v>1</v>
      </c>
      <c r="B73" s="376">
        <v>2</v>
      </c>
      <c r="C73" s="376"/>
      <c r="D73" s="376"/>
      <c r="E73" s="285">
        <v>3</v>
      </c>
      <c r="F73" s="285">
        <v>4</v>
      </c>
      <c r="G73" s="376">
        <v>5</v>
      </c>
      <c r="H73" s="376"/>
      <c r="I73" s="376"/>
      <c r="J73" s="376"/>
      <c r="K73" s="376"/>
      <c r="L73" s="376"/>
      <c r="M73" s="376"/>
      <c r="N73" s="376"/>
      <c r="O73" s="376"/>
      <c r="P73" s="376"/>
    </row>
    <row r="74" spans="1:16" s="296" customFormat="1" ht="33" customHeight="1">
      <c r="A74" s="283" t="s">
        <v>168</v>
      </c>
      <c r="B74" s="354" t="s">
        <v>169</v>
      </c>
      <c r="C74" s="346"/>
      <c r="D74" s="347"/>
      <c r="E74" s="295">
        <v>43306</v>
      </c>
      <c r="F74" s="283">
        <v>129</v>
      </c>
      <c r="G74" s="377" t="s">
        <v>298</v>
      </c>
      <c r="H74" s="378"/>
      <c r="I74" s="378"/>
      <c r="J74" s="378"/>
      <c r="K74" s="378"/>
      <c r="L74" s="378"/>
      <c r="M74" s="378"/>
      <c r="N74" s="378"/>
      <c r="O74" s="378"/>
      <c r="P74" s="379"/>
    </row>
    <row r="75" spans="1:16" s="300" customFormat="1" ht="23.25" customHeight="1">
      <c r="A75" s="297" t="s">
        <v>241</v>
      </c>
      <c r="B75" s="380" t="s">
        <v>242</v>
      </c>
      <c r="C75" s="380"/>
      <c r="D75" s="380"/>
      <c r="E75" s="298">
        <v>44190</v>
      </c>
      <c r="F75" s="299" t="s">
        <v>338</v>
      </c>
      <c r="G75" s="381" t="s">
        <v>337</v>
      </c>
      <c r="H75" s="381"/>
      <c r="I75" s="381"/>
      <c r="J75" s="381"/>
      <c r="K75" s="381"/>
      <c r="L75" s="381"/>
      <c r="M75" s="381"/>
      <c r="N75" s="381"/>
      <c r="O75" s="381"/>
      <c r="P75" s="381"/>
    </row>
    <row r="76" spans="1:16" s="296" customFormat="1" ht="32.25" customHeight="1">
      <c r="A76" s="278" t="s">
        <v>241</v>
      </c>
      <c r="B76" s="382" t="s">
        <v>242</v>
      </c>
      <c r="C76" s="382"/>
      <c r="D76" s="382"/>
      <c r="E76" s="301">
        <v>43600</v>
      </c>
      <c r="F76" s="278" t="s">
        <v>300</v>
      </c>
      <c r="G76" s="366" t="s">
        <v>299</v>
      </c>
      <c r="H76" s="383"/>
      <c r="I76" s="383"/>
      <c r="J76" s="383"/>
      <c r="K76" s="383"/>
      <c r="L76" s="383"/>
      <c r="M76" s="383"/>
      <c r="N76" s="383"/>
      <c r="O76" s="383"/>
      <c r="P76" s="384"/>
    </row>
    <row r="77" spans="1:16" s="296" customFormat="1" ht="11.25" hidden="1">
      <c r="A77" s="278"/>
      <c r="B77" s="372"/>
      <c r="C77" s="372"/>
      <c r="D77" s="372"/>
      <c r="E77" s="278"/>
      <c r="F77" s="278"/>
      <c r="G77" s="373"/>
      <c r="H77" s="373"/>
      <c r="I77" s="373"/>
      <c r="J77" s="373"/>
      <c r="K77" s="373"/>
      <c r="L77" s="373"/>
      <c r="M77" s="373"/>
      <c r="N77" s="373"/>
      <c r="O77" s="373"/>
      <c r="P77" s="373"/>
    </row>
    <row r="78" spans="1:16" ht="9.75" customHeight="1"/>
    <row r="79" spans="1:16">
      <c r="A79" s="207" t="s">
        <v>26</v>
      </c>
    </row>
    <row r="80" spans="1:16" ht="4.5" customHeight="1"/>
    <row r="81" spans="1:16">
      <c r="A81" s="207" t="s">
        <v>27</v>
      </c>
    </row>
    <row r="82" spans="1:16" ht="97.5" customHeight="1">
      <c r="A82" s="374" t="s">
        <v>233</v>
      </c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  <row r="83" spans="1:16">
      <c r="A83" s="375" t="s">
        <v>28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</row>
    <row r="84" spans="1:16" ht="3.75" customHeight="1"/>
    <row r="85" spans="1:16">
      <c r="A85" s="207" t="s">
        <v>166</v>
      </c>
    </row>
    <row r="87" spans="1:16">
      <c r="A87" s="326" t="s">
        <v>30</v>
      </c>
      <c r="B87" s="326"/>
      <c r="C87" s="326"/>
      <c r="D87" s="372" t="s">
        <v>31</v>
      </c>
      <c r="E87" s="372"/>
      <c r="F87" s="372"/>
      <c r="G87" s="372"/>
      <c r="H87" s="326" t="s">
        <v>32</v>
      </c>
      <c r="I87" s="326"/>
      <c r="J87" s="326"/>
      <c r="K87" s="326"/>
    </row>
    <row r="88" spans="1:16" s="294" customFormat="1" ht="7.5">
      <c r="A88" s="376">
        <v>1</v>
      </c>
      <c r="B88" s="376"/>
      <c r="C88" s="376"/>
      <c r="D88" s="376">
        <v>2</v>
      </c>
      <c r="E88" s="376"/>
      <c r="F88" s="376"/>
      <c r="G88" s="376"/>
      <c r="H88" s="376">
        <v>3</v>
      </c>
      <c r="I88" s="376"/>
      <c r="J88" s="376"/>
      <c r="K88" s="376"/>
    </row>
    <row r="89" spans="1:16" s="245" customFormat="1" ht="349.5" customHeight="1">
      <c r="A89" s="363" t="s">
        <v>175</v>
      </c>
      <c r="B89" s="364"/>
      <c r="C89" s="365"/>
      <c r="D89" s="385" t="s">
        <v>228</v>
      </c>
      <c r="E89" s="386"/>
      <c r="F89" s="386"/>
      <c r="G89" s="387"/>
      <c r="H89" s="369" t="s">
        <v>229</v>
      </c>
      <c r="I89" s="370"/>
      <c r="J89" s="370"/>
      <c r="K89" s="371"/>
    </row>
    <row r="90" spans="1:16" ht="13.5" hidden="1" customHeight="1">
      <c r="A90" s="328"/>
      <c r="B90" s="329"/>
      <c r="C90" s="330"/>
      <c r="D90" s="328"/>
      <c r="E90" s="329"/>
      <c r="F90" s="329"/>
      <c r="G90" s="330"/>
      <c r="H90" s="328"/>
      <c r="I90" s="329"/>
      <c r="J90" s="329"/>
      <c r="K90" s="330"/>
    </row>
    <row r="91" spans="1:16" ht="13.5" hidden="1" customHeight="1">
      <c r="A91" s="328"/>
      <c r="B91" s="329"/>
      <c r="C91" s="330"/>
      <c r="D91" s="328"/>
      <c r="E91" s="329"/>
      <c r="F91" s="329"/>
      <c r="G91" s="330"/>
      <c r="H91" s="328"/>
      <c r="I91" s="329"/>
      <c r="J91" s="329"/>
      <c r="K91" s="330"/>
    </row>
    <row r="92" spans="1:16">
      <c r="A92" s="322" t="s">
        <v>172</v>
      </c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</row>
    <row r="93" spans="1:16" ht="7.5" customHeight="1"/>
    <row r="94" spans="1:16">
      <c r="A94" s="207" t="s">
        <v>7</v>
      </c>
      <c r="E94" s="348" t="s">
        <v>41</v>
      </c>
      <c r="F94" s="348"/>
      <c r="G94" s="348"/>
      <c r="H94" s="348"/>
      <c r="I94" s="348"/>
      <c r="J94" s="348"/>
      <c r="K94" s="348"/>
      <c r="L94" s="348"/>
      <c r="M94" s="342" t="s">
        <v>315</v>
      </c>
      <c r="N94" s="343"/>
      <c r="O94" s="326" t="s">
        <v>285</v>
      </c>
      <c r="P94" s="326"/>
    </row>
    <row r="95" spans="1:16">
      <c r="A95" s="349" t="s">
        <v>50</v>
      </c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2"/>
      <c r="N95" s="343"/>
      <c r="O95" s="326"/>
      <c r="P95" s="326"/>
    </row>
    <row r="96" spans="1:16" ht="15.75" customHeight="1">
      <c r="A96" s="207" t="s">
        <v>8</v>
      </c>
      <c r="M96" s="342"/>
      <c r="N96" s="343"/>
      <c r="O96" s="326"/>
      <c r="P96" s="326"/>
    </row>
    <row r="97" spans="1:17">
      <c r="A97" s="349" t="s">
        <v>42</v>
      </c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7" ht="4.5" customHeight="1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</row>
    <row r="99" spans="1:17">
      <c r="A99" s="207" t="s">
        <v>9</v>
      </c>
    </row>
    <row r="100" spans="1:17" ht="5.25" customHeight="1"/>
    <row r="101" spans="1:17">
      <c r="A101" s="207" t="s">
        <v>236</v>
      </c>
    </row>
    <row r="102" spans="1:17" ht="7.5" customHeight="1"/>
    <row r="103" spans="1:17" s="268" customFormat="1" ht="54" customHeight="1">
      <c r="A103" s="350" t="s">
        <v>275</v>
      </c>
      <c r="B103" s="350"/>
      <c r="C103" s="351" t="s">
        <v>310</v>
      </c>
      <c r="D103" s="352"/>
      <c r="E103" s="353"/>
      <c r="F103" s="350" t="s">
        <v>14</v>
      </c>
      <c r="G103" s="350"/>
      <c r="H103" s="350" t="s">
        <v>15</v>
      </c>
      <c r="I103" s="350"/>
      <c r="J103" s="350"/>
      <c r="K103" s="350"/>
      <c r="L103" s="350"/>
      <c r="M103" s="351" t="s">
        <v>16</v>
      </c>
      <c r="N103" s="352"/>
      <c r="O103" s="353"/>
      <c r="P103" s="338" t="s">
        <v>237</v>
      </c>
      <c r="Q103" s="338"/>
    </row>
    <row r="104" spans="1:17" s="269" customFormat="1" ht="24.75" customHeight="1">
      <c r="A104" s="350"/>
      <c r="B104" s="350"/>
      <c r="C104" s="350" t="s">
        <v>276</v>
      </c>
      <c r="D104" s="350" t="s">
        <v>276</v>
      </c>
      <c r="E104" s="350" t="s">
        <v>276</v>
      </c>
      <c r="F104" s="350" t="s">
        <v>276</v>
      </c>
      <c r="G104" s="350" t="s">
        <v>276</v>
      </c>
      <c r="H104" s="350" t="s">
        <v>277</v>
      </c>
      <c r="I104" s="350"/>
      <c r="J104" s="350" t="s">
        <v>238</v>
      </c>
      <c r="K104" s="350"/>
      <c r="L104" s="350"/>
      <c r="M104" s="344" t="s">
        <v>334</v>
      </c>
      <c r="N104" s="344" t="s">
        <v>335</v>
      </c>
      <c r="O104" s="344" t="s">
        <v>336</v>
      </c>
      <c r="P104" s="338" t="s">
        <v>223</v>
      </c>
      <c r="Q104" s="340" t="s">
        <v>224</v>
      </c>
    </row>
    <row r="105" spans="1:17" s="269" customFormat="1" ht="19.899999999999999" customHeight="1">
      <c r="A105" s="350"/>
      <c r="B105" s="350"/>
      <c r="C105" s="350"/>
      <c r="D105" s="350"/>
      <c r="E105" s="350"/>
      <c r="F105" s="350"/>
      <c r="G105" s="350"/>
      <c r="H105" s="350"/>
      <c r="I105" s="350"/>
      <c r="J105" s="425" t="s">
        <v>278</v>
      </c>
      <c r="K105" s="426"/>
      <c r="L105" s="270" t="s">
        <v>279</v>
      </c>
      <c r="M105" s="345"/>
      <c r="N105" s="345"/>
      <c r="O105" s="345"/>
      <c r="P105" s="338"/>
      <c r="Q105" s="341"/>
    </row>
    <row r="106" spans="1:17" s="268" customFormat="1" ht="11.25" customHeight="1">
      <c r="A106" s="424">
        <v>1</v>
      </c>
      <c r="B106" s="424"/>
      <c r="C106" s="271">
        <v>2</v>
      </c>
      <c r="D106" s="271">
        <v>3</v>
      </c>
      <c r="E106" s="271">
        <v>4</v>
      </c>
      <c r="F106" s="271">
        <v>5</v>
      </c>
      <c r="G106" s="271">
        <v>6</v>
      </c>
      <c r="H106" s="424">
        <v>7</v>
      </c>
      <c r="I106" s="424"/>
      <c r="J106" s="425">
        <v>8</v>
      </c>
      <c r="K106" s="426"/>
      <c r="L106" s="271">
        <v>9</v>
      </c>
      <c r="M106" s="271">
        <v>10</v>
      </c>
      <c r="N106" s="271">
        <v>11</v>
      </c>
      <c r="O106" s="271">
        <v>12</v>
      </c>
      <c r="P106" s="271">
        <v>13</v>
      </c>
      <c r="Q106" s="271">
        <v>14</v>
      </c>
    </row>
    <row r="107" spans="1:17" s="268" customFormat="1" ht="36" customHeight="1">
      <c r="A107" s="399" t="s">
        <v>265</v>
      </c>
      <c r="B107" s="400"/>
      <c r="C107" s="405"/>
      <c r="D107" s="405"/>
      <c r="E107" s="405"/>
      <c r="F107" s="408" t="s">
        <v>43</v>
      </c>
      <c r="G107" s="405"/>
      <c r="H107" s="411" t="s">
        <v>309</v>
      </c>
      <c r="I107" s="412"/>
      <c r="J107" s="413" t="s">
        <v>49</v>
      </c>
      <c r="K107" s="414"/>
      <c r="L107" s="419">
        <v>744</v>
      </c>
      <c r="M107" s="272" t="s">
        <v>280</v>
      </c>
      <c r="N107" s="272" t="s">
        <v>280</v>
      </c>
      <c r="O107" s="272" t="s">
        <v>280</v>
      </c>
      <c r="P107" s="273"/>
      <c r="Q107" s="274"/>
    </row>
    <row r="108" spans="1:17" s="268" customFormat="1" ht="16.5" customHeight="1">
      <c r="A108" s="401"/>
      <c r="B108" s="402"/>
      <c r="C108" s="406"/>
      <c r="D108" s="406"/>
      <c r="E108" s="406"/>
      <c r="F108" s="409"/>
      <c r="G108" s="406"/>
      <c r="H108" s="422" t="s">
        <v>308</v>
      </c>
      <c r="I108" s="423"/>
      <c r="J108" s="415"/>
      <c r="K108" s="416"/>
      <c r="L108" s="420"/>
      <c r="M108" s="275" t="s">
        <v>281</v>
      </c>
      <c r="N108" s="275" t="s">
        <v>281</v>
      </c>
      <c r="O108" s="275" t="s">
        <v>281</v>
      </c>
      <c r="P108" s="273"/>
      <c r="Q108" s="274"/>
    </row>
    <row r="109" spans="1:17" s="268" customFormat="1">
      <c r="A109" s="403"/>
      <c r="B109" s="404"/>
      <c r="C109" s="407"/>
      <c r="D109" s="407"/>
      <c r="E109" s="407"/>
      <c r="F109" s="410"/>
      <c r="G109" s="407"/>
      <c r="H109" s="422" t="s">
        <v>282</v>
      </c>
      <c r="I109" s="423"/>
      <c r="J109" s="417"/>
      <c r="K109" s="418"/>
      <c r="L109" s="421"/>
      <c r="M109" s="275" t="s">
        <v>281</v>
      </c>
      <c r="N109" s="275" t="s">
        <v>281</v>
      </c>
      <c r="O109" s="275" t="s">
        <v>281</v>
      </c>
      <c r="P109" s="276"/>
      <c r="Q109" s="277"/>
    </row>
    <row r="110" spans="1:17" ht="30" hidden="1" customHeight="1">
      <c r="A110" s="355"/>
      <c r="B110" s="356"/>
      <c r="C110" s="278"/>
      <c r="D110" s="278"/>
      <c r="E110" s="278"/>
      <c r="F110" s="279" t="s">
        <v>44</v>
      </c>
      <c r="G110" s="278"/>
      <c r="H110" s="357" t="s">
        <v>48</v>
      </c>
      <c r="I110" s="358"/>
      <c r="J110" s="359" t="s">
        <v>49</v>
      </c>
      <c r="K110" s="360"/>
      <c r="L110" s="280">
        <v>744</v>
      </c>
      <c r="M110" s="281" t="s">
        <v>167</v>
      </c>
      <c r="N110" s="281" t="s">
        <v>167</v>
      </c>
      <c r="O110" s="281" t="s">
        <v>167</v>
      </c>
      <c r="P110" s="273"/>
      <c r="Q110" s="274"/>
    </row>
    <row r="111" spans="1:17" hidden="1">
      <c r="A111" s="328"/>
      <c r="B111" s="330"/>
      <c r="C111" s="274"/>
      <c r="D111" s="274"/>
      <c r="E111" s="274"/>
      <c r="F111" s="274"/>
      <c r="G111" s="274"/>
      <c r="H111" s="328"/>
      <c r="I111" s="330"/>
      <c r="J111" s="328"/>
      <c r="K111" s="330"/>
      <c r="L111" s="274"/>
      <c r="M111" s="274"/>
      <c r="N111" s="274"/>
      <c r="O111" s="328"/>
      <c r="P111" s="330"/>
    </row>
    <row r="112" spans="1:17" hidden="1">
      <c r="A112" s="328"/>
      <c r="B112" s="330"/>
      <c r="C112" s="274"/>
      <c r="D112" s="274"/>
      <c r="E112" s="274"/>
      <c r="F112" s="274"/>
      <c r="G112" s="274"/>
      <c r="H112" s="328"/>
      <c r="I112" s="330"/>
      <c r="J112" s="328"/>
      <c r="K112" s="330"/>
      <c r="L112" s="274"/>
      <c r="M112" s="274"/>
      <c r="N112" s="274"/>
      <c r="O112" s="328"/>
      <c r="P112" s="330"/>
    </row>
    <row r="113" spans="1:18" hidden="1">
      <c r="A113" s="328"/>
      <c r="B113" s="330"/>
      <c r="C113" s="274"/>
      <c r="D113" s="274"/>
      <c r="E113" s="274"/>
      <c r="F113" s="274"/>
      <c r="G113" s="274"/>
      <c r="H113" s="328"/>
      <c r="I113" s="330"/>
      <c r="J113" s="328"/>
      <c r="K113" s="330"/>
      <c r="L113" s="274"/>
      <c r="M113" s="274"/>
      <c r="N113" s="274"/>
      <c r="O113" s="328"/>
      <c r="P113" s="330"/>
    </row>
    <row r="114" spans="1:18" hidden="1">
      <c r="A114" s="328"/>
      <c r="B114" s="330"/>
      <c r="C114" s="274"/>
      <c r="D114" s="274"/>
      <c r="E114" s="274"/>
      <c r="F114" s="274"/>
      <c r="G114" s="274"/>
      <c r="H114" s="328"/>
      <c r="I114" s="330"/>
      <c r="J114" s="328"/>
      <c r="K114" s="330"/>
      <c r="L114" s="274"/>
      <c r="M114" s="274"/>
      <c r="N114" s="274"/>
      <c r="O114" s="328"/>
      <c r="P114" s="330"/>
    </row>
    <row r="115" spans="1:18" hidden="1">
      <c r="A115" s="328"/>
      <c r="B115" s="330"/>
      <c r="C115" s="274"/>
      <c r="D115" s="274"/>
      <c r="E115" s="274"/>
      <c r="F115" s="274"/>
      <c r="G115" s="274"/>
      <c r="H115" s="328"/>
      <c r="I115" s="330"/>
      <c r="J115" s="328"/>
      <c r="K115" s="330"/>
      <c r="L115" s="274"/>
      <c r="M115" s="274"/>
      <c r="N115" s="274"/>
      <c r="O115" s="328"/>
      <c r="P115" s="330"/>
    </row>
    <row r="116" spans="1:18" hidden="1">
      <c r="A116" s="328"/>
      <c r="B116" s="330"/>
      <c r="C116" s="274"/>
      <c r="D116" s="274"/>
      <c r="E116" s="274"/>
      <c r="F116" s="274"/>
      <c r="G116" s="274"/>
      <c r="H116" s="328"/>
      <c r="I116" s="330"/>
      <c r="J116" s="328"/>
      <c r="K116" s="330"/>
      <c r="L116" s="274"/>
      <c r="M116" s="274"/>
      <c r="N116" s="274"/>
      <c r="O116" s="328"/>
      <c r="P116" s="330"/>
    </row>
    <row r="117" spans="1:18" ht="7.5" customHeight="1"/>
    <row r="118" spans="1:18" s="208" customFormat="1" hidden="1"/>
    <row r="119" spans="1:18" s="208" customFormat="1" hidden="1">
      <c r="C119" s="398"/>
      <c r="D119" s="398"/>
    </row>
    <row r="120" spans="1:18" ht="3" customHeight="1">
      <c r="D120" s="264"/>
    </row>
    <row r="121" spans="1:18">
      <c r="A121" s="207" t="s">
        <v>20</v>
      </c>
    </row>
    <row r="122" spans="1:18" ht="5.25" customHeight="1"/>
    <row r="123" spans="1:18" ht="54.75" customHeight="1">
      <c r="A123" s="391" t="s">
        <v>12</v>
      </c>
      <c r="B123" s="392"/>
      <c r="C123" s="354" t="s">
        <v>13</v>
      </c>
      <c r="D123" s="346"/>
      <c r="E123" s="347"/>
      <c r="F123" s="397" t="s">
        <v>14</v>
      </c>
      <c r="G123" s="397"/>
      <c r="H123" s="338" t="s">
        <v>18</v>
      </c>
      <c r="I123" s="338"/>
      <c r="J123" s="338"/>
      <c r="K123" s="338" t="s">
        <v>19</v>
      </c>
      <c r="L123" s="338"/>
      <c r="M123" s="338"/>
      <c r="N123" s="346" t="s">
        <v>319</v>
      </c>
      <c r="O123" s="346"/>
      <c r="P123" s="347"/>
      <c r="Q123" s="354" t="s">
        <v>320</v>
      </c>
      <c r="R123" s="347"/>
    </row>
    <row r="124" spans="1:18" ht="42" customHeight="1">
      <c r="A124" s="393"/>
      <c r="B124" s="394"/>
      <c r="C124" s="350" t="s">
        <v>276</v>
      </c>
      <c r="D124" s="350" t="s">
        <v>276</v>
      </c>
      <c r="E124" s="350" t="s">
        <v>276</v>
      </c>
      <c r="F124" s="350" t="s">
        <v>276</v>
      </c>
      <c r="G124" s="350" t="s">
        <v>276</v>
      </c>
      <c r="H124" s="338" t="s">
        <v>311</v>
      </c>
      <c r="I124" s="338" t="s">
        <v>238</v>
      </c>
      <c r="J124" s="338"/>
      <c r="K124" s="344" t="s">
        <v>334</v>
      </c>
      <c r="L124" s="344" t="s">
        <v>335</v>
      </c>
      <c r="M124" s="344" t="s">
        <v>336</v>
      </c>
      <c r="N124" s="344" t="s">
        <v>334</v>
      </c>
      <c r="O124" s="344" t="s">
        <v>335</v>
      </c>
      <c r="P124" s="344" t="s">
        <v>336</v>
      </c>
      <c r="Q124" s="339" t="s">
        <v>223</v>
      </c>
      <c r="R124" s="340" t="s">
        <v>224</v>
      </c>
    </row>
    <row r="125" spans="1:18" ht="22.5" customHeight="1">
      <c r="A125" s="395"/>
      <c r="B125" s="396"/>
      <c r="C125" s="350"/>
      <c r="D125" s="350"/>
      <c r="E125" s="350"/>
      <c r="F125" s="350"/>
      <c r="G125" s="350"/>
      <c r="H125" s="338"/>
      <c r="I125" s="282" t="s">
        <v>322</v>
      </c>
      <c r="J125" s="270" t="s">
        <v>279</v>
      </c>
      <c r="K125" s="345"/>
      <c r="L125" s="345"/>
      <c r="M125" s="345"/>
      <c r="N125" s="345"/>
      <c r="O125" s="345"/>
      <c r="P125" s="345"/>
      <c r="Q125" s="339"/>
      <c r="R125" s="341"/>
    </row>
    <row r="126" spans="1:18" s="294" customFormat="1" ht="7.5">
      <c r="A126" s="388">
        <v>1</v>
      </c>
      <c r="B126" s="389"/>
      <c r="C126" s="284">
        <v>2</v>
      </c>
      <c r="D126" s="284">
        <v>3</v>
      </c>
      <c r="E126" s="284">
        <v>4</v>
      </c>
      <c r="F126" s="284">
        <v>5</v>
      </c>
      <c r="G126" s="284">
        <v>6</v>
      </c>
      <c r="H126" s="284">
        <v>7</v>
      </c>
      <c r="I126" s="284">
        <v>8</v>
      </c>
      <c r="J126" s="284">
        <v>9</v>
      </c>
      <c r="K126" s="284">
        <v>10</v>
      </c>
      <c r="L126" s="284">
        <v>11</v>
      </c>
      <c r="M126" s="284">
        <v>12</v>
      </c>
      <c r="N126" s="284">
        <v>13</v>
      </c>
      <c r="O126" s="284">
        <v>14</v>
      </c>
      <c r="P126" s="284">
        <v>15</v>
      </c>
      <c r="Q126" s="284">
        <v>13</v>
      </c>
      <c r="R126" s="285">
        <v>14</v>
      </c>
    </row>
    <row r="127" spans="1:18" ht="25.5" customHeight="1">
      <c r="A127" s="355" t="str">
        <f>A107</f>
        <v>802111О.99.0.БА96АЧ08001</v>
      </c>
      <c r="B127" s="356"/>
      <c r="C127" s="278"/>
      <c r="D127" s="278"/>
      <c r="E127" s="278"/>
      <c r="F127" s="278" t="s">
        <v>43</v>
      </c>
      <c r="G127" s="278"/>
      <c r="H127" s="279" t="s">
        <v>45</v>
      </c>
      <c r="I127" s="286" t="s">
        <v>46</v>
      </c>
      <c r="J127" s="278">
        <v>792</v>
      </c>
      <c r="K127" s="278">
        <f>'проверка 2020'!K4</f>
        <v>97</v>
      </c>
      <c r="L127" s="278">
        <f>'проверка 2021'!K4</f>
        <v>95</v>
      </c>
      <c r="M127" s="278">
        <f>'проверка 2022'!K4</f>
        <v>95</v>
      </c>
      <c r="N127" s="278"/>
      <c r="O127" s="278"/>
      <c r="P127" s="278"/>
      <c r="Q127" s="287">
        <v>0.05</v>
      </c>
      <c r="R127" s="274"/>
    </row>
    <row r="128" spans="1:18" ht="23.25" hidden="1" customHeight="1">
      <c r="A128" s="355">
        <f>A110</f>
        <v>0</v>
      </c>
      <c r="B128" s="356"/>
      <c r="C128" s="278"/>
      <c r="D128" s="278"/>
      <c r="E128" s="278"/>
      <c r="F128" s="279" t="s">
        <v>44</v>
      </c>
      <c r="G128" s="278"/>
      <c r="H128" s="279" t="s">
        <v>45</v>
      </c>
      <c r="I128" s="286" t="s">
        <v>46</v>
      </c>
      <c r="J128" s="278">
        <v>792</v>
      </c>
      <c r="K128" s="278"/>
      <c r="L128" s="278"/>
      <c r="M128" s="278"/>
      <c r="N128" s="278"/>
      <c r="O128" s="286"/>
      <c r="P128" s="286"/>
      <c r="Q128" s="273"/>
      <c r="R128" s="274"/>
    </row>
    <row r="129" spans="1:21" hidden="1">
      <c r="A129" s="286"/>
      <c r="B129" s="286"/>
      <c r="C129" s="278"/>
      <c r="D129" s="278"/>
      <c r="E129" s="278"/>
      <c r="F129" s="278"/>
      <c r="G129" s="278"/>
      <c r="H129" s="286"/>
      <c r="I129" s="286"/>
      <c r="J129" s="278"/>
      <c r="K129" s="278"/>
      <c r="L129" s="278"/>
      <c r="M129" s="278"/>
      <c r="N129" s="278"/>
      <c r="O129" s="288"/>
      <c r="P129" s="289"/>
    </row>
    <row r="130" spans="1:21" hidden="1">
      <c r="A130" s="290"/>
      <c r="B130" s="290"/>
      <c r="C130" s="274"/>
      <c r="D130" s="274"/>
      <c r="E130" s="274"/>
      <c r="F130" s="274"/>
      <c r="G130" s="274"/>
      <c r="H130" s="290"/>
      <c r="I130" s="290"/>
      <c r="J130" s="274"/>
      <c r="K130" s="274"/>
      <c r="L130" s="274"/>
      <c r="M130" s="274"/>
      <c r="N130" s="274"/>
      <c r="O130" s="291"/>
      <c r="P130" s="292"/>
    </row>
    <row r="131" spans="1:21" hidden="1">
      <c r="A131" s="290"/>
      <c r="B131" s="290"/>
      <c r="C131" s="274"/>
      <c r="D131" s="274"/>
      <c r="E131" s="274"/>
      <c r="F131" s="274"/>
      <c r="G131" s="274"/>
      <c r="H131" s="290"/>
      <c r="I131" s="290"/>
      <c r="J131" s="274"/>
      <c r="K131" s="274"/>
      <c r="L131" s="274"/>
      <c r="M131" s="274"/>
      <c r="N131" s="274"/>
      <c r="O131" s="291"/>
      <c r="P131" s="292"/>
    </row>
    <row r="132" spans="1:21" hidden="1">
      <c r="A132" s="290"/>
      <c r="B132" s="290"/>
      <c r="C132" s="274"/>
      <c r="D132" s="274"/>
      <c r="E132" s="274"/>
      <c r="F132" s="274"/>
      <c r="G132" s="274"/>
      <c r="H132" s="290"/>
      <c r="I132" s="290"/>
      <c r="J132" s="274"/>
      <c r="K132" s="274"/>
      <c r="L132" s="274"/>
      <c r="M132" s="274"/>
      <c r="N132" s="274"/>
      <c r="O132" s="291"/>
      <c r="P132" s="292"/>
    </row>
    <row r="133" spans="1:21" hidden="1">
      <c r="A133" s="290"/>
      <c r="B133" s="290"/>
      <c r="C133" s="274"/>
      <c r="D133" s="274"/>
      <c r="E133" s="274"/>
      <c r="F133" s="274"/>
      <c r="G133" s="274"/>
      <c r="H133" s="290"/>
      <c r="I133" s="290"/>
      <c r="J133" s="274"/>
      <c r="K133" s="274"/>
      <c r="L133" s="274"/>
      <c r="M133" s="274"/>
      <c r="N133" s="274"/>
      <c r="O133" s="291"/>
      <c r="P133" s="292"/>
    </row>
    <row r="134" spans="1:21" hidden="1">
      <c r="A134" s="290"/>
      <c r="B134" s="290"/>
      <c r="C134" s="274"/>
      <c r="D134" s="274"/>
      <c r="E134" s="274"/>
      <c r="F134" s="274"/>
      <c r="G134" s="274"/>
      <c r="H134" s="290"/>
      <c r="I134" s="290"/>
      <c r="J134" s="274"/>
      <c r="K134" s="274"/>
      <c r="L134" s="274"/>
      <c r="M134" s="274"/>
      <c r="N134" s="274"/>
      <c r="O134" s="291"/>
      <c r="P134" s="292"/>
    </row>
    <row r="135" spans="1:21" ht="6" customHeight="1"/>
    <row r="136" spans="1:21" s="208" customFormat="1"/>
    <row r="137" spans="1:21" s="208" customFormat="1" hidden="1">
      <c r="C137" s="398"/>
      <c r="D137" s="398"/>
    </row>
    <row r="138" spans="1:21" ht="2.25" customHeight="1">
      <c r="D138" s="264"/>
    </row>
    <row r="139" spans="1:21">
      <c r="A139" s="207" t="s">
        <v>328</v>
      </c>
    </row>
    <row r="140" spans="1:21" ht="3" customHeight="1"/>
    <row r="141" spans="1:21">
      <c r="A141" s="326" t="s">
        <v>25</v>
      </c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</row>
    <row r="142" spans="1:21">
      <c r="A142" s="293" t="s">
        <v>21</v>
      </c>
      <c r="B142" s="326" t="s">
        <v>22</v>
      </c>
      <c r="C142" s="326"/>
      <c r="D142" s="326"/>
      <c r="E142" s="293" t="s">
        <v>23</v>
      </c>
      <c r="F142" s="293" t="s">
        <v>24</v>
      </c>
      <c r="G142" s="326" t="s">
        <v>17</v>
      </c>
      <c r="H142" s="326"/>
      <c r="I142" s="326"/>
      <c r="J142" s="326"/>
      <c r="K142" s="326"/>
      <c r="L142" s="326"/>
      <c r="M142" s="326"/>
      <c r="N142" s="326"/>
      <c r="O142" s="326"/>
      <c r="P142" s="326"/>
      <c r="U142" s="207" t="s">
        <v>62</v>
      </c>
    </row>
    <row r="143" spans="1:21" s="294" customFormat="1" ht="7.5">
      <c r="A143" s="285">
        <v>1</v>
      </c>
      <c r="B143" s="376">
        <v>2</v>
      </c>
      <c r="C143" s="376"/>
      <c r="D143" s="376"/>
      <c r="E143" s="285">
        <v>3</v>
      </c>
      <c r="F143" s="285">
        <v>4</v>
      </c>
      <c r="G143" s="376">
        <v>5</v>
      </c>
      <c r="H143" s="376"/>
      <c r="I143" s="376"/>
      <c r="J143" s="376"/>
      <c r="K143" s="376"/>
      <c r="L143" s="376"/>
      <c r="M143" s="376"/>
      <c r="N143" s="376"/>
      <c r="O143" s="376"/>
      <c r="P143" s="376"/>
    </row>
    <row r="144" spans="1:21" s="296" customFormat="1" ht="36" customHeight="1">
      <c r="A144" s="283" t="s">
        <v>168</v>
      </c>
      <c r="B144" s="354" t="s">
        <v>169</v>
      </c>
      <c r="C144" s="346"/>
      <c r="D144" s="347"/>
      <c r="E144" s="295">
        <v>43306</v>
      </c>
      <c r="F144" s="283">
        <v>129</v>
      </c>
      <c r="G144" s="377" t="s">
        <v>298</v>
      </c>
      <c r="H144" s="378"/>
      <c r="I144" s="378"/>
      <c r="J144" s="378"/>
      <c r="K144" s="378"/>
      <c r="L144" s="378"/>
      <c r="M144" s="378"/>
      <c r="N144" s="378"/>
      <c r="O144" s="378"/>
      <c r="P144" s="379"/>
    </row>
    <row r="145" spans="1:16" s="300" customFormat="1" ht="21.75" customHeight="1">
      <c r="A145" s="297" t="s">
        <v>241</v>
      </c>
      <c r="B145" s="380" t="s">
        <v>242</v>
      </c>
      <c r="C145" s="380"/>
      <c r="D145" s="380"/>
      <c r="E145" s="298">
        <v>44190</v>
      </c>
      <c r="F145" s="299" t="s">
        <v>338</v>
      </c>
      <c r="G145" s="381" t="s">
        <v>337</v>
      </c>
      <c r="H145" s="381"/>
      <c r="I145" s="381"/>
      <c r="J145" s="381"/>
      <c r="K145" s="381"/>
      <c r="L145" s="381"/>
      <c r="M145" s="381"/>
      <c r="N145" s="381"/>
      <c r="O145" s="381"/>
      <c r="P145" s="381"/>
    </row>
    <row r="146" spans="1:16" s="296" customFormat="1" ht="33.75" customHeight="1">
      <c r="A146" s="278" t="s">
        <v>241</v>
      </c>
      <c r="B146" s="382" t="s">
        <v>242</v>
      </c>
      <c r="C146" s="382"/>
      <c r="D146" s="382"/>
      <c r="E146" s="301">
        <v>43600</v>
      </c>
      <c r="F146" s="278" t="s">
        <v>300</v>
      </c>
      <c r="G146" s="366" t="s">
        <v>299</v>
      </c>
      <c r="H146" s="383"/>
      <c r="I146" s="383"/>
      <c r="J146" s="383"/>
      <c r="K146" s="383"/>
      <c r="L146" s="383"/>
      <c r="M146" s="383"/>
      <c r="N146" s="383"/>
      <c r="O146" s="383"/>
      <c r="P146" s="384"/>
    </row>
    <row r="147" spans="1:16" s="296" customFormat="1" ht="10.5" hidden="1" customHeight="1">
      <c r="A147" s="278"/>
      <c r="B147" s="372"/>
      <c r="C147" s="372"/>
      <c r="D147" s="372"/>
      <c r="E147" s="278"/>
      <c r="F147" s="278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</row>
    <row r="148" spans="1:16" ht="9.75" customHeight="1"/>
    <row r="149" spans="1:16">
      <c r="A149" s="207" t="s">
        <v>26</v>
      </c>
    </row>
    <row r="150" spans="1:16" ht="8.25" customHeight="1"/>
    <row r="151" spans="1:16">
      <c r="A151" s="207" t="s">
        <v>27</v>
      </c>
    </row>
    <row r="152" spans="1:16" ht="88.9" customHeight="1">
      <c r="A152" s="374" t="s">
        <v>233</v>
      </c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</row>
    <row r="153" spans="1:16">
      <c r="A153" s="375" t="s">
        <v>28</v>
      </c>
      <c r="B153" s="375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</row>
    <row r="154" spans="1:16" ht="3.75" customHeight="1"/>
    <row r="155" spans="1:16">
      <c r="A155" s="207" t="s">
        <v>29</v>
      </c>
    </row>
    <row r="157" spans="1:16">
      <c r="A157" s="326" t="s">
        <v>30</v>
      </c>
      <c r="B157" s="326"/>
      <c r="C157" s="326"/>
      <c r="D157" s="326" t="s">
        <v>31</v>
      </c>
      <c r="E157" s="326"/>
      <c r="F157" s="326"/>
      <c r="G157" s="326"/>
      <c r="H157" s="326" t="s">
        <v>32</v>
      </c>
      <c r="I157" s="326"/>
      <c r="J157" s="326"/>
      <c r="K157" s="326"/>
    </row>
    <row r="158" spans="1:16" s="294" customFormat="1" ht="7.5">
      <c r="A158" s="376">
        <v>1</v>
      </c>
      <c r="B158" s="376"/>
      <c r="C158" s="376"/>
      <c r="D158" s="376">
        <v>2</v>
      </c>
      <c r="E158" s="376"/>
      <c r="F158" s="376"/>
      <c r="G158" s="376"/>
      <c r="H158" s="376">
        <v>3</v>
      </c>
      <c r="I158" s="376"/>
      <c r="J158" s="376"/>
      <c r="K158" s="376"/>
    </row>
    <row r="159" spans="1:16" ht="358.5" customHeight="1">
      <c r="A159" s="363" t="s">
        <v>175</v>
      </c>
      <c r="B159" s="364"/>
      <c r="C159" s="365"/>
      <c r="D159" s="385" t="s">
        <v>228</v>
      </c>
      <c r="E159" s="386"/>
      <c r="F159" s="386"/>
      <c r="G159" s="387"/>
      <c r="H159" s="369" t="s">
        <v>229</v>
      </c>
      <c r="I159" s="370"/>
      <c r="J159" s="370"/>
      <c r="K159" s="371"/>
    </row>
    <row r="160" spans="1:16" ht="34.5" hidden="1" customHeight="1">
      <c r="A160" s="328"/>
      <c r="B160" s="329"/>
      <c r="C160" s="330"/>
      <c r="D160" s="328"/>
      <c r="E160" s="329"/>
      <c r="F160" s="329"/>
      <c r="G160" s="330"/>
      <c r="H160" s="328"/>
      <c r="I160" s="329"/>
      <c r="J160" s="329"/>
      <c r="K160" s="330"/>
    </row>
    <row r="161" spans="1:17" ht="99.75" hidden="1" customHeight="1">
      <c r="A161" s="328"/>
      <c r="B161" s="329"/>
      <c r="C161" s="330"/>
      <c r="D161" s="328"/>
      <c r="E161" s="329"/>
      <c r="F161" s="329"/>
      <c r="G161" s="330"/>
      <c r="H161" s="328"/>
      <c r="I161" s="329"/>
      <c r="J161" s="329"/>
      <c r="K161" s="330"/>
    </row>
    <row r="162" spans="1:17">
      <c r="A162" s="322" t="s">
        <v>173</v>
      </c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</row>
    <row r="163" spans="1:17" ht="7.5" customHeight="1"/>
    <row r="164" spans="1:17">
      <c r="A164" s="207" t="s">
        <v>7</v>
      </c>
      <c r="E164" s="348" t="s">
        <v>41</v>
      </c>
      <c r="F164" s="348"/>
      <c r="G164" s="348"/>
      <c r="H164" s="348"/>
      <c r="I164" s="348"/>
      <c r="J164" s="348"/>
      <c r="K164" s="348"/>
      <c r="L164" s="348"/>
      <c r="M164" s="342" t="s">
        <v>315</v>
      </c>
      <c r="N164" s="343"/>
      <c r="O164" s="326" t="s">
        <v>286</v>
      </c>
      <c r="P164" s="326"/>
    </row>
    <row r="165" spans="1:17" ht="14.25" customHeight="1">
      <c r="A165" s="349" t="s">
        <v>51</v>
      </c>
      <c r="B165" s="349"/>
      <c r="C165" s="349"/>
      <c r="D165" s="349"/>
      <c r="E165" s="349"/>
      <c r="F165" s="349"/>
      <c r="G165" s="349"/>
      <c r="H165" s="349"/>
      <c r="I165" s="349"/>
      <c r="J165" s="349"/>
      <c r="K165" s="349"/>
      <c r="L165" s="349"/>
      <c r="M165" s="342"/>
      <c r="N165" s="343"/>
      <c r="O165" s="326"/>
      <c r="P165" s="326"/>
    </row>
    <row r="166" spans="1:17" ht="17.25" customHeight="1">
      <c r="A166" s="207" t="s">
        <v>8</v>
      </c>
      <c r="M166" s="342"/>
      <c r="N166" s="343"/>
      <c r="O166" s="326"/>
      <c r="P166" s="326"/>
    </row>
    <row r="167" spans="1:17">
      <c r="A167" s="349" t="s">
        <v>42</v>
      </c>
      <c r="B167" s="349"/>
      <c r="C167" s="349"/>
      <c r="D167" s="349"/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</row>
    <row r="168" spans="1:17" ht="4.5" customHeight="1">
      <c r="A168" s="264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</row>
    <row r="169" spans="1:17">
      <c r="A169" s="207" t="s">
        <v>9</v>
      </c>
    </row>
    <row r="170" spans="1:17" ht="5.25" customHeight="1"/>
    <row r="171" spans="1:17">
      <c r="A171" s="207" t="s">
        <v>236</v>
      </c>
    </row>
    <row r="172" spans="1:17" ht="7.5" customHeight="1"/>
    <row r="173" spans="1:17" s="268" customFormat="1" ht="49.9" customHeight="1">
      <c r="A173" s="350" t="s">
        <v>275</v>
      </c>
      <c r="B173" s="350"/>
      <c r="C173" s="351" t="s">
        <v>310</v>
      </c>
      <c r="D173" s="352"/>
      <c r="E173" s="353"/>
      <c r="F173" s="350" t="s">
        <v>14</v>
      </c>
      <c r="G173" s="350"/>
      <c r="H173" s="350" t="s">
        <v>15</v>
      </c>
      <c r="I173" s="350"/>
      <c r="J173" s="350"/>
      <c r="K173" s="350"/>
      <c r="L173" s="350"/>
      <c r="M173" s="351" t="s">
        <v>16</v>
      </c>
      <c r="N173" s="352"/>
      <c r="O173" s="353"/>
      <c r="P173" s="338" t="s">
        <v>237</v>
      </c>
      <c r="Q173" s="338"/>
    </row>
    <row r="174" spans="1:17" s="269" customFormat="1" ht="24.75" customHeight="1">
      <c r="A174" s="350"/>
      <c r="B174" s="350"/>
      <c r="C174" s="350" t="s">
        <v>276</v>
      </c>
      <c r="D174" s="350" t="s">
        <v>276</v>
      </c>
      <c r="E174" s="350" t="s">
        <v>276</v>
      </c>
      <c r="F174" s="350" t="s">
        <v>276</v>
      </c>
      <c r="G174" s="350" t="s">
        <v>276</v>
      </c>
      <c r="H174" s="350" t="s">
        <v>277</v>
      </c>
      <c r="I174" s="350"/>
      <c r="J174" s="350" t="s">
        <v>238</v>
      </c>
      <c r="K174" s="350"/>
      <c r="L174" s="350"/>
      <c r="M174" s="344" t="s">
        <v>334</v>
      </c>
      <c r="N174" s="344" t="s">
        <v>335</v>
      </c>
      <c r="O174" s="344" t="s">
        <v>336</v>
      </c>
      <c r="P174" s="338" t="s">
        <v>223</v>
      </c>
      <c r="Q174" s="340" t="s">
        <v>224</v>
      </c>
    </row>
    <row r="175" spans="1:17" s="269" customFormat="1" ht="19.899999999999999" customHeight="1">
      <c r="A175" s="350"/>
      <c r="B175" s="350"/>
      <c r="C175" s="350"/>
      <c r="D175" s="350"/>
      <c r="E175" s="350"/>
      <c r="F175" s="350"/>
      <c r="G175" s="350"/>
      <c r="H175" s="350"/>
      <c r="I175" s="350"/>
      <c r="J175" s="425" t="s">
        <v>278</v>
      </c>
      <c r="K175" s="426"/>
      <c r="L175" s="270" t="s">
        <v>279</v>
      </c>
      <c r="M175" s="345"/>
      <c r="N175" s="345"/>
      <c r="O175" s="345"/>
      <c r="P175" s="338"/>
      <c r="Q175" s="341"/>
    </row>
    <row r="176" spans="1:17" s="268" customFormat="1" ht="11.25" customHeight="1">
      <c r="A176" s="424">
        <v>1</v>
      </c>
      <c r="B176" s="424"/>
      <c r="C176" s="271">
        <v>2</v>
      </c>
      <c r="D176" s="271">
        <v>3</v>
      </c>
      <c r="E176" s="271">
        <v>4</v>
      </c>
      <c r="F176" s="271">
        <v>5</v>
      </c>
      <c r="G176" s="271">
        <v>6</v>
      </c>
      <c r="H176" s="424">
        <v>7</v>
      </c>
      <c r="I176" s="424"/>
      <c r="J176" s="425">
        <v>8</v>
      </c>
      <c r="K176" s="426"/>
      <c r="L176" s="271">
        <v>9</v>
      </c>
      <c r="M176" s="271">
        <v>10</v>
      </c>
      <c r="N176" s="271">
        <v>11</v>
      </c>
      <c r="O176" s="271">
        <v>12</v>
      </c>
      <c r="P176" s="271">
        <v>13</v>
      </c>
      <c r="Q176" s="271">
        <v>14</v>
      </c>
    </row>
    <row r="177" spans="1:17" s="268" customFormat="1" ht="36" customHeight="1">
      <c r="A177" s="399" t="s">
        <v>266</v>
      </c>
      <c r="B177" s="400"/>
      <c r="C177" s="405"/>
      <c r="D177" s="405"/>
      <c r="E177" s="405"/>
      <c r="F177" s="408" t="s">
        <v>43</v>
      </c>
      <c r="G177" s="405"/>
      <c r="H177" s="411" t="s">
        <v>309</v>
      </c>
      <c r="I177" s="412"/>
      <c r="J177" s="413" t="s">
        <v>49</v>
      </c>
      <c r="K177" s="414"/>
      <c r="L177" s="419">
        <v>744</v>
      </c>
      <c r="M177" s="272" t="s">
        <v>280</v>
      </c>
      <c r="N177" s="272" t="s">
        <v>280</v>
      </c>
      <c r="O177" s="272" t="s">
        <v>280</v>
      </c>
      <c r="P177" s="273"/>
      <c r="Q177" s="274"/>
    </row>
    <row r="178" spans="1:17" s="268" customFormat="1" ht="16.5" customHeight="1">
      <c r="A178" s="401"/>
      <c r="B178" s="402"/>
      <c r="C178" s="406"/>
      <c r="D178" s="406"/>
      <c r="E178" s="406"/>
      <c r="F178" s="409"/>
      <c r="G178" s="406"/>
      <c r="H178" s="422" t="s">
        <v>308</v>
      </c>
      <c r="I178" s="423"/>
      <c r="J178" s="415"/>
      <c r="K178" s="416"/>
      <c r="L178" s="420"/>
      <c r="M178" s="275" t="s">
        <v>281</v>
      </c>
      <c r="N178" s="275" t="s">
        <v>281</v>
      </c>
      <c r="O178" s="275" t="s">
        <v>281</v>
      </c>
      <c r="P178" s="273"/>
      <c r="Q178" s="274"/>
    </row>
    <row r="179" spans="1:17" s="268" customFormat="1">
      <c r="A179" s="403"/>
      <c r="B179" s="404"/>
      <c r="C179" s="407"/>
      <c r="D179" s="407"/>
      <c r="E179" s="407"/>
      <c r="F179" s="410"/>
      <c r="G179" s="407"/>
      <c r="H179" s="422" t="s">
        <v>282</v>
      </c>
      <c r="I179" s="423"/>
      <c r="J179" s="417"/>
      <c r="K179" s="418"/>
      <c r="L179" s="421"/>
      <c r="M179" s="275" t="s">
        <v>281</v>
      </c>
      <c r="N179" s="275" t="s">
        <v>281</v>
      </c>
      <c r="O179" s="275" t="s">
        <v>281</v>
      </c>
      <c r="P179" s="276"/>
      <c r="Q179" s="277"/>
    </row>
    <row r="180" spans="1:17" ht="30.75" hidden="1" customHeight="1">
      <c r="A180" s="355"/>
      <c r="B180" s="356"/>
      <c r="C180" s="278"/>
      <c r="D180" s="278"/>
      <c r="E180" s="278"/>
      <c r="F180" s="279" t="s">
        <v>44</v>
      </c>
      <c r="G180" s="278"/>
      <c r="H180" s="357" t="s">
        <v>48</v>
      </c>
      <c r="I180" s="358"/>
      <c r="J180" s="359" t="s">
        <v>49</v>
      </c>
      <c r="K180" s="360"/>
      <c r="L180" s="280">
        <v>744</v>
      </c>
      <c r="M180" s="281" t="s">
        <v>167</v>
      </c>
      <c r="N180" s="281" t="s">
        <v>167</v>
      </c>
      <c r="O180" s="281" t="s">
        <v>167</v>
      </c>
      <c r="P180" s="273"/>
      <c r="Q180" s="274"/>
    </row>
    <row r="181" spans="1:17" hidden="1">
      <c r="A181" s="328"/>
      <c r="B181" s="330"/>
      <c r="C181" s="274"/>
      <c r="D181" s="274"/>
      <c r="E181" s="274"/>
      <c r="F181" s="274"/>
      <c r="G181" s="274"/>
      <c r="H181" s="328"/>
      <c r="I181" s="330"/>
      <c r="J181" s="328"/>
      <c r="K181" s="330"/>
      <c r="L181" s="274"/>
      <c r="M181" s="274"/>
      <c r="N181" s="274"/>
      <c r="O181" s="328"/>
      <c r="P181" s="330"/>
    </row>
    <row r="182" spans="1:17" hidden="1">
      <c r="A182" s="328"/>
      <c r="B182" s="330"/>
      <c r="C182" s="274"/>
      <c r="D182" s="274"/>
      <c r="E182" s="274"/>
      <c r="F182" s="274"/>
      <c r="G182" s="274"/>
      <c r="H182" s="328"/>
      <c r="I182" s="330"/>
      <c r="J182" s="328"/>
      <c r="K182" s="330"/>
      <c r="L182" s="274"/>
      <c r="M182" s="274"/>
      <c r="N182" s="274"/>
      <c r="O182" s="328"/>
      <c r="P182" s="330"/>
    </row>
    <row r="183" spans="1:17" hidden="1">
      <c r="A183" s="328"/>
      <c r="B183" s="330"/>
      <c r="C183" s="274"/>
      <c r="D183" s="274"/>
      <c r="E183" s="274"/>
      <c r="F183" s="274"/>
      <c r="G183" s="274"/>
      <c r="H183" s="328"/>
      <c r="I183" s="330"/>
      <c r="J183" s="328"/>
      <c r="K183" s="330"/>
      <c r="L183" s="274"/>
      <c r="M183" s="274"/>
      <c r="N183" s="274"/>
      <c r="O183" s="328"/>
      <c r="P183" s="330"/>
    </row>
    <row r="184" spans="1:17" hidden="1">
      <c r="A184" s="328"/>
      <c r="B184" s="330"/>
      <c r="C184" s="274"/>
      <c r="D184" s="274"/>
      <c r="E184" s="274"/>
      <c r="F184" s="274"/>
      <c r="G184" s="274"/>
      <c r="H184" s="328"/>
      <c r="I184" s="330"/>
      <c r="J184" s="328"/>
      <c r="K184" s="330"/>
      <c r="L184" s="274"/>
      <c r="M184" s="274"/>
      <c r="N184" s="274"/>
      <c r="O184" s="328"/>
      <c r="P184" s="330"/>
    </row>
    <row r="185" spans="1:17" hidden="1">
      <c r="A185" s="328"/>
      <c r="B185" s="330"/>
      <c r="C185" s="274"/>
      <c r="D185" s="274"/>
      <c r="E185" s="274"/>
      <c r="F185" s="274"/>
      <c r="G185" s="274"/>
      <c r="H185" s="328"/>
      <c r="I185" s="330"/>
      <c r="J185" s="328"/>
      <c r="K185" s="330"/>
      <c r="L185" s="274"/>
      <c r="M185" s="274"/>
      <c r="N185" s="274"/>
      <c r="O185" s="328"/>
      <c r="P185" s="330"/>
    </row>
    <row r="186" spans="1:17" hidden="1">
      <c r="A186" s="328"/>
      <c r="B186" s="330"/>
      <c r="C186" s="274"/>
      <c r="D186" s="274"/>
      <c r="E186" s="274"/>
      <c r="F186" s="274"/>
      <c r="G186" s="274"/>
      <c r="H186" s="328"/>
      <c r="I186" s="330"/>
      <c r="J186" s="328"/>
      <c r="K186" s="330"/>
      <c r="L186" s="274"/>
      <c r="M186" s="274"/>
      <c r="N186" s="274"/>
      <c r="O186" s="328"/>
      <c r="P186" s="330"/>
    </row>
    <row r="187" spans="1:17" ht="7.5" customHeight="1"/>
    <row r="188" spans="1:17" s="208" customFormat="1" hidden="1"/>
    <row r="189" spans="1:17" s="208" customFormat="1" hidden="1">
      <c r="C189" s="398"/>
      <c r="D189" s="398"/>
    </row>
    <row r="190" spans="1:17" ht="7.5" customHeight="1">
      <c r="D190" s="264"/>
    </row>
    <row r="191" spans="1:17">
      <c r="A191" s="207" t="s">
        <v>20</v>
      </c>
    </row>
    <row r="192" spans="1:17" ht="8.25" customHeight="1"/>
    <row r="193" spans="1:18" ht="51" customHeight="1">
      <c r="A193" s="391" t="s">
        <v>12</v>
      </c>
      <c r="B193" s="392"/>
      <c r="C193" s="354" t="s">
        <v>13</v>
      </c>
      <c r="D193" s="346"/>
      <c r="E193" s="347"/>
      <c r="F193" s="397" t="s">
        <v>14</v>
      </c>
      <c r="G193" s="397"/>
      <c r="H193" s="338" t="s">
        <v>18</v>
      </c>
      <c r="I193" s="338"/>
      <c r="J193" s="338"/>
      <c r="K193" s="338" t="s">
        <v>19</v>
      </c>
      <c r="L193" s="338"/>
      <c r="M193" s="338"/>
      <c r="N193" s="346" t="s">
        <v>319</v>
      </c>
      <c r="O193" s="346"/>
      <c r="P193" s="347"/>
      <c r="Q193" s="338" t="s">
        <v>320</v>
      </c>
      <c r="R193" s="338"/>
    </row>
    <row r="194" spans="1:18" ht="42" customHeight="1">
      <c r="A194" s="393"/>
      <c r="B194" s="394"/>
      <c r="C194" s="350" t="s">
        <v>276</v>
      </c>
      <c r="D194" s="350" t="s">
        <v>276</v>
      </c>
      <c r="E194" s="350" t="s">
        <v>276</v>
      </c>
      <c r="F194" s="350" t="s">
        <v>276</v>
      </c>
      <c r="G194" s="350" t="s">
        <v>276</v>
      </c>
      <c r="H194" s="338" t="s">
        <v>311</v>
      </c>
      <c r="I194" s="338" t="s">
        <v>239</v>
      </c>
      <c r="J194" s="338"/>
      <c r="K194" s="344" t="s">
        <v>334</v>
      </c>
      <c r="L194" s="344" t="s">
        <v>335</v>
      </c>
      <c r="M194" s="344" t="s">
        <v>336</v>
      </c>
      <c r="N194" s="344" t="s">
        <v>334</v>
      </c>
      <c r="O194" s="344" t="s">
        <v>335</v>
      </c>
      <c r="P194" s="344" t="s">
        <v>336</v>
      </c>
      <c r="Q194" s="339" t="s">
        <v>223</v>
      </c>
      <c r="R194" s="340" t="s">
        <v>224</v>
      </c>
    </row>
    <row r="195" spans="1:18" ht="26.25" customHeight="1">
      <c r="A195" s="395"/>
      <c r="B195" s="396"/>
      <c r="C195" s="350"/>
      <c r="D195" s="350"/>
      <c r="E195" s="350"/>
      <c r="F195" s="350"/>
      <c r="G195" s="350"/>
      <c r="H195" s="338"/>
      <c r="I195" s="282" t="s">
        <v>322</v>
      </c>
      <c r="J195" s="270" t="s">
        <v>279</v>
      </c>
      <c r="K195" s="345"/>
      <c r="L195" s="345"/>
      <c r="M195" s="345"/>
      <c r="N195" s="345"/>
      <c r="O195" s="345"/>
      <c r="P195" s="345"/>
      <c r="Q195" s="339"/>
      <c r="R195" s="341"/>
    </row>
    <row r="196" spans="1:18" s="294" customFormat="1" ht="7.5">
      <c r="A196" s="388">
        <v>1</v>
      </c>
      <c r="B196" s="389"/>
      <c r="C196" s="284">
        <v>2</v>
      </c>
      <c r="D196" s="284">
        <v>3</v>
      </c>
      <c r="E196" s="284">
        <v>4</v>
      </c>
      <c r="F196" s="284">
        <v>5</v>
      </c>
      <c r="G196" s="284">
        <v>6</v>
      </c>
      <c r="H196" s="284">
        <v>7</v>
      </c>
      <c r="I196" s="284">
        <v>8</v>
      </c>
      <c r="J196" s="284">
        <v>9</v>
      </c>
      <c r="K196" s="284">
        <v>10</v>
      </c>
      <c r="L196" s="284">
        <v>11</v>
      </c>
      <c r="M196" s="284">
        <v>12</v>
      </c>
      <c r="N196" s="284">
        <v>13</v>
      </c>
      <c r="O196" s="284">
        <v>14</v>
      </c>
      <c r="P196" s="284">
        <v>15</v>
      </c>
      <c r="Q196" s="284">
        <v>13</v>
      </c>
      <c r="R196" s="285">
        <v>14</v>
      </c>
    </row>
    <row r="197" spans="1:18" ht="24" customHeight="1">
      <c r="A197" s="390" t="str">
        <f>A177</f>
        <v>802112О.99.0.ББ11АЧ08001</v>
      </c>
      <c r="B197" s="356"/>
      <c r="C197" s="278"/>
      <c r="D197" s="278"/>
      <c r="E197" s="278"/>
      <c r="F197" s="278" t="s">
        <v>43</v>
      </c>
      <c r="G197" s="278"/>
      <c r="H197" s="279" t="s">
        <v>45</v>
      </c>
      <c r="I197" s="286" t="s">
        <v>46</v>
      </c>
      <c r="J197" s="278">
        <v>792</v>
      </c>
      <c r="K197" s="278">
        <f>'проверка 2020'!M4</f>
        <v>23</v>
      </c>
      <c r="L197" s="278">
        <f>'проверка 2021'!M4</f>
        <v>23</v>
      </c>
      <c r="M197" s="278">
        <f>'проверка 2022'!M4</f>
        <v>23</v>
      </c>
      <c r="N197" s="278"/>
      <c r="O197" s="278"/>
      <c r="P197" s="278"/>
      <c r="Q197" s="287">
        <v>0.05</v>
      </c>
      <c r="R197" s="274"/>
    </row>
    <row r="198" spans="1:18" ht="23.25" hidden="1" customHeight="1">
      <c r="A198" s="390">
        <f>A180</f>
        <v>0</v>
      </c>
      <c r="B198" s="356"/>
      <c r="C198" s="278"/>
      <c r="D198" s="278"/>
      <c r="E198" s="278"/>
      <c r="F198" s="279" t="s">
        <v>44</v>
      </c>
      <c r="G198" s="278"/>
      <c r="H198" s="279" t="s">
        <v>45</v>
      </c>
      <c r="I198" s="286" t="s">
        <v>46</v>
      </c>
      <c r="J198" s="278">
        <v>792</v>
      </c>
      <c r="K198" s="278"/>
      <c r="L198" s="278"/>
      <c r="M198" s="278"/>
      <c r="N198" s="278"/>
      <c r="O198" s="286"/>
      <c r="P198" s="286"/>
      <c r="Q198" s="273"/>
      <c r="R198" s="274"/>
    </row>
    <row r="199" spans="1:18" hidden="1">
      <c r="A199" s="286"/>
      <c r="B199" s="286"/>
      <c r="C199" s="278"/>
      <c r="D199" s="278"/>
      <c r="E199" s="278"/>
      <c r="F199" s="278"/>
      <c r="G199" s="278"/>
      <c r="H199" s="286"/>
      <c r="I199" s="286"/>
      <c r="J199" s="278"/>
      <c r="K199" s="278"/>
      <c r="L199" s="278"/>
      <c r="M199" s="278"/>
      <c r="N199" s="278"/>
      <c r="O199" s="288"/>
      <c r="P199" s="289"/>
    </row>
    <row r="200" spans="1:18" hidden="1">
      <c r="A200" s="290"/>
      <c r="B200" s="290"/>
      <c r="C200" s="274"/>
      <c r="D200" s="274"/>
      <c r="E200" s="274"/>
      <c r="F200" s="274"/>
      <c r="G200" s="274"/>
      <c r="H200" s="290"/>
      <c r="I200" s="290"/>
      <c r="J200" s="274"/>
      <c r="K200" s="274"/>
      <c r="L200" s="274"/>
      <c r="M200" s="274"/>
      <c r="N200" s="274"/>
      <c r="O200" s="291"/>
      <c r="P200" s="292"/>
    </row>
    <row r="201" spans="1:18" hidden="1">
      <c r="A201" s="290"/>
      <c r="B201" s="290"/>
      <c r="C201" s="274"/>
      <c r="D201" s="274"/>
      <c r="E201" s="274"/>
      <c r="F201" s="274"/>
      <c r="G201" s="274"/>
      <c r="H201" s="290"/>
      <c r="I201" s="290"/>
      <c r="J201" s="274"/>
      <c r="K201" s="274"/>
      <c r="L201" s="274"/>
      <c r="M201" s="274"/>
      <c r="N201" s="274"/>
      <c r="O201" s="291"/>
      <c r="P201" s="292"/>
    </row>
    <row r="202" spans="1:18" hidden="1">
      <c r="A202" s="290"/>
      <c r="B202" s="290"/>
      <c r="C202" s="274"/>
      <c r="D202" s="274"/>
      <c r="E202" s="274"/>
      <c r="F202" s="274"/>
      <c r="G202" s="274"/>
      <c r="H202" s="290"/>
      <c r="I202" s="290"/>
      <c r="J202" s="274"/>
      <c r="K202" s="274"/>
      <c r="L202" s="274"/>
      <c r="M202" s="274"/>
      <c r="N202" s="274"/>
      <c r="O202" s="291"/>
      <c r="P202" s="292"/>
    </row>
    <row r="203" spans="1:18" hidden="1">
      <c r="A203" s="290"/>
      <c r="B203" s="290"/>
      <c r="C203" s="274"/>
      <c r="D203" s="274"/>
      <c r="E203" s="274"/>
      <c r="F203" s="274"/>
      <c r="G203" s="274"/>
      <c r="H203" s="290"/>
      <c r="I203" s="290"/>
      <c r="J203" s="274"/>
      <c r="K203" s="274"/>
      <c r="L203" s="274"/>
      <c r="M203" s="274"/>
      <c r="N203" s="274"/>
      <c r="O203" s="291"/>
      <c r="P203" s="292"/>
    </row>
    <row r="204" spans="1:18" hidden="1">
      <c r="A204" s="290"/>
      <c r="B204" s="290"/>
      <c r="C204" s="274"/>
      <c r="D204" s="274"/>
      <c r="E204" s="274"/>
      <c r="F204" s="274"/>
      <c r="G204" s="274"/>
      <c r="H204" s="290"/>
      <c r="I204" s="290"/>
      <c r="J204" s="274"/>
      <c r="K204" s="274"/>
      <c r="L204" s="274"/>
      <c r="M204" s="274"/>
      <c r="N204" s="274"/>
      <c r="O204" s="291"/>
      <c r="P204" s="292"/>
    </row>
    <row r="205" spans="1:18" ht="6" customHeight="1"/>
    <row r="206" spans="1:18" s="208" customFormat="1" hidden="1"/>
    <row r="207" spans="1:18" s="208" customFormat="1">
      <c r="C207" s="398"/>
      <c r="D207" s="398"/>
    </row>
    <row r="208" spans="1:18" ht="6" customHeight="1">
      <c r="D208" s="264"/>
    </row>
    <row r="209" spans="1:16">
      <c r="A209" s="207" t="s">
        <v>328</v>
      </c>
    </row>
    <row r="210" spans="1:16" ht="8.25" customHeight="1"/>
    <row r="211" spans="1:16">
      <c r="A211" s="326" t="s">
        <v>25</v>
      </c>
      <c r="B211" s="326"/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</row>
    <row r="212" spans="1:16">
      <c r="A212" s="293" t="s">
        <v>21</v>
      </c>
      <c r="B212" s="326" t="s">
        <v>22</v>
      </c>
      <c r="C212" s="326"/>
      <c r="D212" s="326"/>
      <c r="E212" s="293" t="s">
        <v>23</v>
      </c>
      <c r="F212" s="293" t="s">
        <v>24</v>
      </c>
      <c r="G212" s="326" t="s">
        <v>17</v>
      </c>
      <c r="H212" s="326"/>
      <c r="I212" s="326"/>
      <c r="J212" s="326"/>
      <c r="K212" s="326"/>
      <c r="L212" s="326"/>
      <c r="M212" s="326"/>
      <c r="N212" s="326"/>
      <c r="O212" s="326"/>
      <c r="P212" s="326"/>
    </row>
    <row r="213" spans="1:16" s="294" customFormat="1" ht="7.5">
      <c r="A213" s="285">
        <v>1</v>
      </c>
      <c r="B213" s="376">
        <v>2</v>
      </c>
      <c r="C213" s="376"/>
      <c r="D213" s="376"/>
      <c r="E213" s="285">
        <v>3</v>
      </c>
      <c r="F213" s="285">
        <v>4</v>
      </c>
      <c r="G213" s="376">
        <v>5</v>
      </c>
      <c r="H213" s="376"/>
      <c r="I213" s="376"/>
      <c r="J213" s="376"/>
      <c r="K213" s="376"/>
      <c r="L213" s="376"/>
      <c r="M213" s="376"/>
      <c r="N213" s="376"/>
      <c r="O213" s="376"/>
      <c r="P213" s="376"/>
    </row>
    <row r="214" spans="1:16" s="296" customFormat="1" ht="39.75" customHeight="1">
      <c r="A214" s="283" t="s">
        <v>168</v>
      </c>
      <c r="B214" s="354" t="s">
        <v>169</v>
      </c>
      <c r="C214" s="346"/>
      <c r="D214" s="347"/>
      <c r="E214" s="295">
        <v>43306</v>
      </c>
      <c r="F214" s="283">
        <v>129</v>
      </c>
      <c r="G214" s="377" t="s">
        <v>298</v>
      </c>
      <c r="H214" s="378"/>
      <c r="I214" s="378"/>
      <c r="J214" s="378"/>
      <c r="K214" s="378"/>
      <c r="L214" s="378"/>
      <c r="M214" s="378"/>
      <c r="N214" s="378"/>
      <c r="O214" s="378"/>
      <c r="P214" s="379"/>
    </row>
    <row r="215" spans="1:16" s="300" customFormat="1" ht="21" customHeight="1">
      <c r="A215" s="297" t="s">
        <v>241</v>
      </c>
      <c r="B215" s="380" t="s">
        <v>242</v>
      </c>
      <c r="C215" s="380"/>
      <c r="D215" s="380"/>
      <c r="E215" s="298">
        <v>44190</v>
      </c>
      <c r="F215" s="299" t="s">
        <v>338</v>
      </c>
      <c r="G215" s="381" t="s">
        <v>337</v>
      </c>
      <c r="H215" s="381"/>
      <c r="I215" s="381"/>
      <c r="J215" s="381"/>
      <c r="K215" s="381"/>
      <c r="L215" s="381"/>
      <c r="M215" s="381"/>
      <c r="N215" s="381"/>
      <c r="O215" s="381"/>
      <c r="P215" s="381"/>
    </row>
    <row r="216" spans="1:16" s="296" customFormat="1" ht="21.75" customHeight="1">
      <c r="A216" s="278" t="s">
        <v>241</v>
      </c>
      <c r="B216" s="382" t="s">
        <v>242</v>
      </c>
      <c r="C216" s="382"/>
      <c r="D216" s="382"/>
      <c r="E216" s="301">
        <v>43600</v>
      </c>
      <c r="F216" s="278" t="s">
        <v>300</v>
      </c>
      <c r="G216" s="366" t="s">
        <v>299</v>
      </c>
      <c r="H216" s="383"/>
      <c r="I216" s="383"/>
      <c r="J216" s="383"/>
      <c r="K216" s="383"/>
      <c r="L216" s="383"/>
      <c r="M216" s="383"/>
      <c r="N216" s="383"/>
      <c r="O216" s="383"/>
      <c r="P216" s="384"/>
    </row>
    <row r="217" spans="1:16" s="296" customFormat="1" ht="12.75" hidden="1" customHeight="1">
      <c r="A217" s="278"/>
      <c r="B217" s="372"/>
      <c r="C217" s="372"/>
      <c r="D217" s="372"/>
      <c r="E217" s="278"/>
      <c r="F217" s="278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</row>
    <row r="218" spans="1:16" ht="9.75" customHeight="1"/>
    <row r="219" spans="1:16">
      <c r="A219" s="207" t="s">
        <v>26</v>
      </c>
    </row>
    <row r="220" spans="1:16" ht="8.25" customHeight="1"/>
    <row r="221" spans="1:16">
      <c r="A221" s="207" t="s">
        <v>27</v>
      </c>
    </row>
    <row r="222" spans="1:16" ht="91.5" customHeight="1">
      <c r="A222" s="374" t="s">
        <v>233</v>
      </c>
      <c r="B222" s="374"/>
      <c r="C222" s="374"/>
      <c r="D222" s="374"/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  <c r="O222" s="374"/>
      <c r="P222" s="374"/>
    </row>
    <row r="223" spans="1:16">
      <c r="A223" s="375" t="s">
        <v>28</v>
      </c>
      <c r="B223" s="375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</row>
    <row r="224" spans="1:16" ht="3.75" customHeight="1"/>
    <row r="225" spans="1:16">
      <c r="A225" s="207" t="s">
        <v>29</v>
      </c>
    </row>
    <row r="227" spans="1:16">
      <c r="A227" s="326" t="s">
        <v>30</v>
      </c>
      <c r="B227" s="326"/>
      <c r="C227" s="326"/>
      <c r="D227" s="326" t="s">
        <v>31</v>
      </c>
      <c r="E227" s="326"/>
      <c r="F227" s="326"/>
      <c r="G227" s="326"/>
      <c r="H227" s="326" t="s">
        <v>32</v>
      </c>
      <c r="I227" s="326"/>
      <c r="J227" s="326"/>
      <c r="K227" s="326"/>
    </row>
    <row r="228" spans="1:16" s="294" customFormat="1" ht="7.5">
      <c r="A228" s="376">
        <v>1</v>
      </c>
      <c r="B228" s="376"/>
      <c r="C228" s="376"/>
      <c r="D228" s="376">
        <v>2</v>
      </c>
      <c r="E228" s="376"/>
      <c r="F228" s="376"/>
      <c r="G228" s="376"/>
      <c r="H228" s="376">
        <v>3</v>
      </c>
      <c r="I228" s="376"/>
      <c r="J228" s="376"/>
      <c r="K228" s="376"/>
    </row>
    <row r="229" spans="1:16" ht="365.25" customHeight="1">
      <c r="A229" s="363" t="s">
        <v>175</v>
      </c>
      <c r="B229" s="364"/>
      <c r="C229" s="365"/>
      <c r="D229" s="385" t="s">
        <v>228</v>
      </c>
      <c r="E229" s="386"/>
      <c r="F229" s="386"/>
      <c r="G229" s="387"/>
      <c r="H229" s="369" t="s">
        <v>229</v>
      </c>
      <c r="I229" s="370"/>
      <c r="J229" s="370"/>
      <c r="K229" s="371"/>
    </row>
    <row r="230" spans="1:16">
      <c r="A230" s="322" t="s">
        <v>174</v>
      </c>
      <c r="B230" s="322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</row>
    <row r="231" spans="1:16" ht="7.5" customHeight="1"/>
    <row r="232" spans="1:16">
      <c r="A232" s="207" t="s">
        <v>7</v>
      </c>
      <c r="E232" s="348" t="s">
        <v>163</v>
      </c>
      <c r="F232" s="348"/>
      <c r="G232" s="348"/>
      <c r="H232" s="348"/>
      <c r="I232" s="348"/>
      <c r="J232" s="348"/>
      <c r="K232" s="348"/>
      <c r="L232" s="348"/>
      <c r="M232" s="342" t="s">
        <v>315</v>
      </c>
      <c r="N232" s="343"/>
      <c r="O232" s="326" t="s">
        <v>287</v>
      </c>
      <c r="P232" s="326"/>
    </row>
    <row r="233" spans="1:16" ht="12.75" customHeight="1">
      <c r="A233" s="349" t="s">
        <v>40</v>
      </c>
      <c r="B233" s="349"/>
      <c r="C233" s="349"/>
      <c r="D233" s="349"/>
      <c r="E233" s="349"/>
      <c r="F233" s="349"/>
      <c r="G233" s="349"/>
      <c r="H233" s="349"/>
      <c r="I233" s="349"/>
      <c r="J233" s="349"/>
      <c r="K233" s="349"/>
      <c r="L233" s="349"/>
      <c r="M233" s="342"/>
      <c r="N233" s="343"/>
      <c r="O233" s="326"/>
      <c r="P233" s="326"/>
    </row>
    <row r="234" spans="1:16">
      <c r="A234" s="207" t="s">
        <v>8</v>
      </c>
      <c r="M234" s="342"/>
      <c r="N234" s="343"/>
      <c r="O234" s="326"/>
      <c r="P234" s="326"/>
    </row>
    <row r="235" spans="1:16">
      <c r="A235" s="349" t="s">
        <v>52</v>
      </c>
      <c r="B235" s="349"/>
      <c r="C235" s="349"/>
      <c r="D235" s="349"/>
      <c r="E235" s="349"/>
      <c r="F235" s="349"/>
      <c r="G235" s="349"/>
      <c r="H235" s="349"/>
      <c r="I235" s="349"/>
      <c r="J235" s="349"/>
      <c r="K235" s="349"/>
      <c r="L235" s="349"/>
      <c r="M235" s="349"/>
      <c r="N235" s="349"/>
    </row>
    <row r="236" spans="1:16" ht="4.5" customHeight="1">
      <c r="A236" s="264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</row>
    <row r="237" spans="1:16">
      <c r="A237" s="207" t="s">
        <v>9</v>
      </c>
    </row>
    <row r="238" spans="1:16" ht="5.25" customHeight="1"/>
    <row r="239" spans="1:16">
      <c r="A239" s="207" t="s">
        <v>236</v>
      </c>
    </row>
    <row r="240" spans="1:16" ht="7.5" customHeight="1"/>
    <row r="241" spans="1:21" s="268" customFormat="1" ht="49.9" customHeight="1">
      <c r="A241" s="350" t="s">
        <v>275</v>
      </c>
      <c r="B241" s="350"/>
      <c r="C241" s="351" t="s">
        <v>310</v>
      </c>
      <c r="D241" s="352"/>
      <c r="E241" s="353"/>
      <c r="F241" s="350" t="s">
        <v>14</v>
      </c>
      <c r="G241" s="350"/>
      <c r="H241" s="350" t="s">
        <v>15</v>
      </c>
      <c r="I241" s="350"/>
      <c r="J241" s="350"/>
      <c r="K241" s="350"/>
      <c r="L241" s="350"/>
      <c r="M241" s="351" t="s">
        <v>16</v>
      </c>
      <c r="N241" s="352"/>
      <c r="O241" s="353"/>
      <c r="P241" s="338" t="s">
        <v>237</v>
      </c>
      <c r="Q241" s="338"/>
    </row>
    <row r="242" spans="1:21" s="269" customFormat="1" ht="24.75" customHeight="1">
      <c r="A242" s="350"/>
      <c r="B242" s="350"/>
      <c r="C242" s="350" t="s">
        <v>276</v>
      </c>
      <c r="D242" s="350" t="s">
        <v>276</v>
      </c>
      <c r="E242" s="350" t="s">
        <v>276</v>
      </c>
      <c r="F242" s="350" t="s">
        <v>276</v>
      </c>
      <c r="G242" s="350" t="s">
        <v>276</v>
      </c>
      <c r="H242" s="350" t="s">
        <v>277</v>
      </c>
      <c r="I242" s="350"/>
      <c r="J242" s="350" t="s">
        <v>238</v>
      </c>
      <c r="K242" s="350"/>
      <c r="L242" s="350"/>
      <c r="M242" s="344" t="s">
        <v>334</v>
      </c>
      <c r="N242" s="344" t="s">
        <v>335</v>
      </c>
      <c r="O242" s="344" t="s">
        <v>336</v>
      </c>
      <c r="P242" s="338" t="s">
        <v>223</v>
      </c>
      <c r="Q242" s="340" t="s">
        <v>224</v>
      </c>
    </row>
    <row r="243" spans="1:21" s="269" customFormat="1" ht="19.899999999999999" customHeight="1">
      <c r="A243" s="350"/>
      <c r="B243" s="350"/>
      <c r="C243" s="350"/>
      <c r="D243" s="350"/>
      <c r="E243" s="350"/>
      <c r="F243" s="350"/>
      <c r="G243" s="350"/>
      <c r="H243" s="350"/>
      <c r="I243" s="350"/>
      <c r="J243" s="425" t="s">
        <v>278</v>
      </c>
      <c r="K243" s="426"/>
      <c r="L243" s="270" t="s">
        <v>279</v>
      </c>
      <c r="M243" s="345"/>
      <c r="N243" s="345"/>
      <c r="O243" s="345"/>
      <c r="P243" s="338"/>
      <c r="Q243" s="341"/>
    </row>
    <row r="244" spans="1:21" s="268" customFormat="1" ht="11.25" customHeight="1">
      <c r="A244" s="424">
        <v>1</v>
      </c>
      <c r="B244" s="424"/>
      <c r="C244" s="271">
        <v>2</v>
      </c>
      <c r="D244" s="271">
        <v>3</v>
      </c>
      <c r="E244" s="271">
        <v>4</v>
      </c>
      <c r="F244" s="271">
        <v>5</v>
      </c>
      <c r="G244" s="271">
        <v>6</v>
      </c>
      <c r="H244" s="424">
        <v>7</v>
      </c>
      <c r="I244" s="424"/>
      <c r="J244" s="425">
        <v>8</v>
      </c>
      <c r="K244" s="426"/>
      <c r="L244" s="271">
        <v>9</v>
      </c>
      <c r="M244" s="271">
        <v>10</v>
      </c>
      <c r="N244" s="271">
        <v>11</v>
      </c>
      <c r="O244" s="271">
        <v>12</v>
      </c>
      <c r="P244" s="271">
        <v>13</v>
      </c>
      <c r="Q244" s="271">
        <v>14</v>
      </c>
    </row>
    <row r="245" spans="1:21" s="268" customFormat="1" ht="36" customHeight="1">
      <c r="A245" s="399" t="s">
        <v>288</v>
      </c>
      <c r="B245" s="400"/>
      <c r="C245" s="405"/>
      <c r="D245" s="405"/>
      <c r="E245" s="405"/>
      <c r="F245" s="408" t="s">
        <v>43</v>
      </c>
      <c r="G245" s="405"/>
      <c r="H245" s="411" t="s">
        <v>309</v>
      </c>
      <c r="I245" s="412"/>
      <c r="J245" s="413" t="s">
        <v>49</v>
      </c>
      <c r="K245" s="414"/>
      <c r="L245" s="419">
        <v>744</v>
      </c>
      <c r="M245" s="272" t="s">
        <v>280</v>
      </c>
      <c r="N245" s="272" t="s">
        <v>280</v>
      </c>
      <c r="O245" s="272" t="s">
        <v>280</v>
      </c>
      <c r="P245" s="273"/>
      <c r="Q245" s="274"/>
    </row>
    <row r="246" spans="1:21" s="268" customFormat="1" ht="16.5" customHeight="1">
      <c r="A246" s="401"/>
      <c r="B246" s="402"/>
      <c r="C246" s="406"/>
      <c r="D246" s="406"/>
      <c r="E246" s="406"/>
      <c r="F246" s="409"/>
      <c r="G246" s="406"/>
      <c r="H246" s="422" t="s">
        <v>308</v>
      </c>
      <c r="I246" s="423"/>
      <c r="J246" s="415"/>
      <c r="K246" s="416"/>
      <c r="L246" s="420"/>
      <c r="M246" s="275" t="s">
        <v>281</v>
      </c>
      <c r="N246" s="275" t="s">
        <v>281</v>
      </c>
      <c r="O246" s="275" t="s">
        <v>281</v>
      </c>
      <c r="P246" s="273"/>
      <c r="Q246" s="274"/>
    </row>
    <row r="247" spans="1:21" s="268" customFormat="1">
      <c r="A247" s="403"/>
      <c r="B247" s="404"/>
      <c r="C247" s="407"/>
      <c r="D247" s="407"/>
      <c r="E247" s="407"/>
      <c r="F247" s="410"/>
      <c r="G247" s="407"/>
      <c r="H247" s="422" t="s">
        <v>282</v>
      </c>
      <c r="I247" s="423"/>
      <c r="J247" s="417"/>
      <c r="K247" s="418"/>
      <c r="L247" s="421"/>
      <c r="M247" s="275" t="s">
        <v>281</v>
      </c>
      <c r="N247" s="275" t="s">
        <v>281</v>
      </c>
      <c r="O247" s="275" t="s">
        <v>281</v>
      </c>
      <c r="P247" s="276"/>
      <c r="Q247" s="277"/>
    </row>
    <row r="248" spans="1:21" ht="3.75" customHeight="1">
      <c r="D248" s="302"/>
    </row>
    <row r="249" spans="1:21">
      <c r="A249" s="207" t="s">
        <v>20</v>
      </c>
    </row>
    <row r="250" spans="1:21" ht="5.25" customHeight="1"/>
    <row r="251" spans="1:21" ht="45.75" customHeight="1">
      <c r="A251" s="391" t="s">
        <v>12</v>
      </c>
      <c r="B251" s="392"/>
      <c r="C251" s="354" t="s">
        <v>13</v>
      </c>
      <c r="D251" s="346"/>
      <c r="E251" s="347"/>
      <c r="F251" s="397" t="s">
        <v>14</v>
      </c>
      <c r="G251" s="397"/>
      <c r="H251" s="338" t="s">
        <v>18</v>
      </c>
      <c r="I251" s="338"/>
      <c r="J251" s="338"/>
      <c r="K251" s="338" t="s">
        <v>19</v>
      </c>
      <c r="L251" s="338"/>
      <c r="M251" s="338"/>
      <c r="N251" s="346" t="s">
        <v>319</v>
      </c>
      <c r="O251" s="346"/>
      <c r="P251" s="347"/>
      <c r="Q251" s="338" t="s">
        <v>320</v>
      </c>
      <c r="R251" s="338"/>
    </row>
    <row r="252" spans="1:21" ht="42" customHeight="1">
      <c r="A252" s="393"/>
      <c r="B252" s="394"/>
      <c r="C252" s="350" t="s">
        <v>276</v>
      </c>
      <c r="D252" s="350" t="s">
        <v>276</v>
      </c>
      <c r="E252" s="350" t="s">
        <v>276</v>
      </c>
      <c r="F252" s="350" t="s">
        <v>276</v>
      </c>
      <c r="G252" s="350" t="s">
        <v>276</v>
      </c>
      <c r="H252" s="338" t="s">
        <v>311</v>
      </c>
      <c r="I252" s="338" t="s">
        <v>238</v>
      </c>
      <c r="J252" s="338"/>
      <c r="K252" s="344" t="s">
        <v>334</v>
      </c>
      <c r="L252" s="344" t="s">
        <v>335</v>
      </c>
      <c r="M252" s="344" t="s">
        <v>336</v>
      </c>
      <c r="N252" s="344" t="s">
        <v>334</v>
      </c>
      <c r="O252" s="344" t="s">
        <v>335</v>
      </c>
      <c r="P252" s="344" t="s">
        <v>336</v>
      </c>
      <c r="Q252" s="339" t="s">
        <v>223</v>
      </c>
      <c r="R252" s="340" t="s">
        <v>224</v>
      </c>
      <c r="U252" s="207" t="s">
        <v>62</v>
      </c>
    </row>
    <row r="253" spans="1:21" ht="20.25" customHeight="1">
      <c r="A253" s="395"/>
      <c r="B253" s="396"/>
      <c r="C253" s="350"/>
      <c r="D253" s="350"/>
      <c r="E253" s="350"/>
      <c r="F253" s="350"/>
      <c r="G253" s="350"/>
      <c r="H253" s="338"/>
      <c r="I253" s="282" t="s">
        <v>329</v>
      </c>
      <c r="J253" s="270" t="s">
        <v>279</v>
      </c>
      <c r="K253" s="345"/>
      <c r="L253" s="345"/>
      <c r="M253" s="345"/>
      <c r="N253" s="345"/>
      <c r="O253" s="345"/>
      <c r="P253" s="345"/>
      <c r="Q253" s="339"/>
      <c r="R253" s="341"/>
    </row>
    <row r="254" spans="1:21" s="294" customFormat="1" ht="7.5">
      <c r="A254" s="388">
        <v>1</v>
      </c>
      <c r="B254" s="389"/>
      <c r="C254" s="284">
        <v>2</v>
      </c>
      <c r="D254" s="284">
        <v>3</v>
      </c>
      <c r="E254" s="284">
        <v>4</v>
      </c>
      <c r="F254" s="284">
        <v>5</v>
      </c>
      <c r="G254" s="284">
        <v>6</v>
      </c>
      <c r="H254" s="284">
        <v>7</v>
      </c>
      <c r="I254" s="284">
        <v>8</v>
      </c>
      <c r="J254" s="284">
        <v>9</v>
      </c>
      <c r="K254" s="284">
        <v>10</v>
      </c>
      <c r="L254" s="284">
        <v>11</v>
      </c>
      <c r="M254" s="284">
        <v>12</v>
      </c>
      <c r="N254" s="284">
        <v>13</v>
      </c>
      <c r="O254" s="284">
        <v>14</v>
      </c>
      <c r="P254" s="284">
        <v>15</v>
      </c>
      <c r="Q254" s="284">
        <v>13</v>
      </c>
      <c r="R254" s="285">
        <v>14</v>
      </c>
    </row>
    <row r="255" spans="1:21" ht="27.75" customHeight="1">
      <c r="A255" s="390" t="str">
        <f>A245</f>
        <v>801012О.99.0.БА82АА00001</v>
      </c>
      <c r="B255" s="356"/>
      <c r="C255" s="278"/>
      <c r="D255" s="278"/>
      <c r="E255" s="278"/>
      <c r="F255" s="278" t="s">
        <v>43</v>
      </c>
      <c r="G255" s="278"/>
      <c r="H255" s="279" t="s">
        <v>45</v>
      </c>
      <c r="I255" s="286" t="s">
        <v>46</v>
      </c>
      <c r="J255" s="278">
        <v>792</v>
      </c>
      <c r="K255" s="278">
        <f>'проверка 2020'!J4</f>
        <v>3</v>
      </c>
      <c r="L255" s="278">
        <f>'проверка 2021'!J4</f>
        <v>3</v>
      </c>
      <c r="M255" s="278">
        <f>'проверка 2022'!J4</f>
        <v>2</v>
      </c>
      <c r="N255" s="278"/>
      <c r="O255" s="278"/>
      <c r="P255" s="278"/>
      <c r="Q255" s="287">
        <v>0.05</v>
      </c>
      <c r="R255" s="274"/>
    </row>
    <row r="256" spans="1:21" ht="6" customHeight="1"/>
    <row r="257" spans="1:16" ht="6" customHeight="1">
      <c r="D257" s="302"/>
    </row>
    <row r="258" spans="1:16">
      <c r="A258" s="207" t="s">
        <v>328</v>
      </c>
    </row>
    <row r="259" spans="1:16" ht="8.25" customHeight="1"/>
    <row r="260" spans="1:16">
      <c r="A260" s="326" t="s">
        <v>25</v>
      </c>
      <c r="B260" s="326"/>
      <c r="C260" s="326"/>
      <c r="D260" s="326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</row>
    <row r="261" spans="1:16">
      <c r="A261" s="293" t="s">
        <v>21</v>
      </c>
      <c r="B261" s="326" t="s">
        <v>22</v>
      </c>
      <c r="C261" s="326"/>
      <c r="D261" s="326"/>
      <c r="E261" s="293" t="s">
        <v>23</v>
      </c>
      <c r="F261" s="293" t="s">
        <v>24</v>
      </c>
      <c r="G261" s="326" t="s">
        <v>17</v>
      </c>
      <c r="H261" s="326"/>
      <c r="I261" s="326"/>
      <c r="J261" s="326"/>
      <c r="K261" s="326"/>
      <c r="L261" s="326"/>
      <c r="M261" s="326"/>
      <c r="N261" s="326"/>
      <c r="O261" s="326"/>
      <c r="P261" s="326"/>
    </row>
    <row r="262" spans="1:16" s="294" customFormat="1" ht="7.5">
      <c r="A262" s="285">
        <v>1</v>
      </c>
      <c r="B262" s="376">
        <v>2</v>
      </c>
      <c r="C262" s="376"/>
      <c r="D262" s="376"/>
      <c r="E262" s="285">
        <v>3</v>
      </c>
      <c r="F262" s="285">
        <v>4</v>
      </c>
      <c r="G262" s="376">
        <v>5</v>
      </c>
      <c r="H262" s="376"/>
      <c r="I262" s="376"/>
      <c r="J262" s="376"/>
      <c r="K262" s="376"/>
      <c r="L262" s="376"/>
      <c r="M262" s="376"/>
      <c r="N262" s="376"/>
      <c r="O262" s="376"/>
      <c r="P262" s="376"/>
    </row>
    <row r="263" spans="1:16" s="296" customFormat="1" ht="33" customHeight="1">
      <c r="A263" s="283" t="s">
        <v>168</v>
      </c>
      <c r="B263" s="354" t="s">
        <v>169</v>
      </c>
      <c r="C263" s="346"/>
      <c r="D263" s="347"/>
      <c r="E263" s="295">
        <v>43306</v>
      </c>
      <c r="F263" s="283">
        <v>129</v>
      </c>
      <c r="G263" s="377" t="s">
        <v>298</v>
      </c>
      <c r="H263" s="378"/>
      <c r="I263" s="378"/>
      <c r="J263" s="378"/>
      <c r="K263" s="378"/>
      <c r="L263" s="378"/>
      <c r="M263" s="378"/>
      <c r="N263" s="378"/>
      <c r="O263" s="378"/>
      <c r="P263" s="379"/>
    </row>
    <row r="264" spans="1:16" s="300" customFormat="1" ht="24.75" customHeight="1">
      <c r="A264" s="297" t="s">
        <v>241</v>
      </c>
      <c r="B264" s="380" t="s">
        <v>242</v>
      </c>
      <c r="C264" s="380"/>
      <c r="D264" s="380"/>
      <c r="E264" s="298">
        <v>44190</v>
      </c>
      <c r="F264" s="299" t="s">
        <v>338</v>
      </c>
      <c r="G264" s="381" t="s">
        <v>337</v>
      </c>
      <c r="H264" s="381"/>
      <c r="I264" s="381"/>
      <c r="J264" s="381"/>
      <c r="K264" s="381"/>
      <c r="L264" s="381"/>
      <c r="M264" s="381"/>
      <c r="N264" s="381"/>
      <c r="O264" s="381"/>
      <c r="P264" s="381"/>
    </row>
    <row r="265" spans="1:16" s="296" customFormat="1" ht="35.25" customHeight="1">
      <c r="A265" s="278" t="s">
        <v>241</v>
      </c>
      <c r="B265" s="382" t="s">
        <v>242</v>
      </c>
      <c r="C265" s="382"/>
      <c r="D265" s="382"/>
      <c r="E265" s="301">
        <v>43600</v>
      </c>
      <c r="F265" s="278" t="s">
        <v>300</v>
      </c>
      <c r="G265" s="366" t="s">
        <v>299</v>
      </c>
      <c r="H265" s="383"/>
      <c r="I265" s="383"/>
      <c r="J265" s="383"/>
      <c r="K265" s="383"/>
      <c r="L265" s="383"/>
      <c r="M265" s="383"/>
      <c r="N265" s="383"/>
      <c r="O265" s="383"/>
      <c r="P265" s="384"/>
    </row>
    <row r="266" spans="1:16" s="296" customFormat="1" ht="11.25">
      <c r="A266" s="278"/>
      <c r="B266" s="372"/>
      <c r="C266" s="372"/>
      <c r="D266" s="372"/>
      <c r="E266" s="278"/>
      <c r="F266" s="278"/>
      <c r="G266" s="373"/>
      <c r="H266" s="373"/>
      <c r="I266" s="373"/>
      <c r="J266" s="373"/>
      <c r="K266" s="373"/>
      <c r="L266" s="373"/>
      <c r="M266" s="373"/>
      <c r="N266" s="373"/>
      <c r="O266" s="373"/>
      <c r="P266" s="373"/>
    </row>
    <row r="267" spans="1:16" ht="5.25" customHeight="1"/>
    <row r="268" spans="1:16">
      <c r="A268" s="207" t="s">
        <v>26</v>
      </c>
    </row>
    <row r="269" spans="1:16" ht="3" customHeight="1"/>
    <row r="270" spans="1:16">
      <c r="A270" s="207" t="s">
        <v>27</v>
      </c>
    </row>
    <row r="271" spans="1:16" ht="98.25" customHeight="1">
      <c r="A271" s="374" t="s">
        <v>233</v>
      </c>
      <c r="B271" s="374"/>
      <c r="C271" s="374"/>
      <c r="D271" s="374"/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  <c r="O271" s="374"/>
      <c r="P271" s="374"/>
    </row>
    <row r="272" spans="1:16">
      <c r="A272" s="375" t="s">
        <v>28</v>
      </c>
      <c r="B272" s="375"/>
      <c r="C272" s="375"/>
      <c r="D272" s="375"/>
      <c r="E272" s="375"/>
      <c r="F272" s="375"/>
      <c r="G272" s="375"/>
      <c r="H272" s="375"/>
      <c r="I272" s="375"/>
      <c r="J272" s="375"/>
      <c r="K272" s="375"/>
      <c r="L272" s="375"/>
    </row>
    <row r="273" spans="1:16" ht="3.75" customHeight="1"/>
    <row r="274" spans="1:16">
      <c r="A274" s="207" t="s">
        <v>29</v>
      </c>
    </row>
    <row r="276" spans="1:16" ht="10.5" customHeight="1">
      <c r="A276" s="326" t="s">
        <v>30</v>
      </c>
      <c r="B276" s="326"/>
      <c r="C276" s="326"/>
      <c r="D276" s="326" t="s">
        <v>31</v>
      </c>
      <c r="E276" s="326"/>
      <c r="F276" s="326"/>
      <c r="G276" s="326"/>
      <c r="H276" s="326" t="s">
        <v>32</v>
      </c>
      <c r="I276" s="326"/>
      <c r="J276" s="326"/>
      <c r="K276" s="326"/>
    </row>
    <row r="277" spans="1:16" s="294" customFormat="1" ht="7.5">
      <c r="A277" s="376">
        <v>1</v>
      </c>
      <c r="B277" s="376"/>
      <c r="C277" s="376"/>
      <c r="D277" s="376">
        <v>2</v>
      </c>
      <c r="E277" s="376"/>
      <c r="F277" s="376"/>
      <c r="G277" s="376"/>
      <c r="H277" s="376">
        <v>3</v>
      </c>
      <c r="I277" s="376"/>
      <c r="J277" s="376"/>
      <c r="K277" s="376"/>
    </row>
    <row r="278" spans="1:16" ht="357.6" customHeight="1">
      <c r="A278" s="363" t="s">
        <v>175</v>
      </c>
      <c r="B278" s="364"/>
      <c r="C278" s="365"/>
      <c r="D278" s="366" t="s">
        <v>228</v>
      </c>
      <c r="E278" s="367"/>
      <c r="F278" s="367"/>
      <c r="G278" s="368"/>
      <c r="H278" s="369" t="s">
        <v>229</v>
      </c>
      <c r="I278" s="370"/>
      <c r="J278" s="370"/>
      <c r="K278" s="371"/>
    </row>
    <row r="279" spans="1:16">
      <c r="A279" s="322" t="s">
        <v>340</v>
      </c>
      <c r="B279" s="322"/>
      <c r="C279" s="322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  <c r="P279" s="322"/>
    </row>
    <row r="280" spans="1:16" ht="7.5" customHeight="1"/>
    <row r="281" spans="1:16">
      <c r="A281" s="207" t="s">
        <v>7</v>
      </c>
      <c r="E281" s="348" t="s">
        <v>163</v>
      </c>
      <c r="F281" s="348"/>
      <c r="G281" s="348"/>
      <c r="H281" s="348"/>
      <c r="I281" s="348"/>
      <c r="J281" s="348"/>
      <c r="K281" s="348"/>
      <c r="L281" s="348"/>
      <c r="M281" s="342" t="s">
        <v>315</v>
      </c>
      <c r="N281" s="343"/>
      <c r="O281" s="326" t="s">
        <v>285</v>
      </c>
      <c r="P281" s="326"/>
    </row>
    <row r="282" spans="1:16" ht="12.75" customHeight="1">
      <c r="A282" s="349" t="s">
        <v>50</v>
      </c>
      <c r="B282" s="349"/>
      <c r="C282" s="349"/>
      <c r="D282" s="349"/>
      <c r="E282" s="349"/>
      <c r="F282" s="349"/>
      <c r="G282" s="349"/>
      <c r="H282" s="349"/>
      <c r="I282" s="349"/>
      <c r="J282" s="349"/>
      <c r="K282" s="349"/>
      <c r="L282" s="349"/>
      <c r="M282" s="342"/>
      <c r="N282" s="343"/>
      <c r="O282" s="326"/>
      <c r="P282" s="326"/>
    </row>
    <row r="283" spans="1:16">
      <c r="A283" s="207" t="s">
        <v>8</v>
      </c>
      <c r="M283" s="342"/>
      <c r="N283" s="343"/>
      <c r="O283" s="326"/>
      <c r="P283" s="326"/>
    </row>
    <row r="284" spans="1:16">
      <c r="A284" s="349" t="s">
        <v>52</v>
      </c>
      <c r="B284" s="349"/>
      <c r="C284" s="349"/>
      <c r="D284" s="349"/>
      <c r="E284" s="349"/>
      <c r="F284" s="349"/>
      <c r="G284" s="349"/>
      <c r="H284" s="349"/>
      <c r="I284" s="349"/>
      <c r="J284" s="349"/>
      <c r="K284" s="349"/>
      <c r="L284" s="349"/>
      <c r="M284" s="349"/>
      <c r="N284" s="349"/>
    </row>
    <row r="285" spans="1:16" ht="4.5" customHeight="1">
      <c r="A285" s="264"/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</row>
    <row r="286" spans="1:16">
      <c r="A286" s="207" t="s">
        <v>9</v>
      </c>
    </row>
    <row r="287" spans="1:16" ht="5.25" customHeight="1"/>
    <row r="288" spans="1:16">
      <c r="A288" s="207" t="s">
        <v>236</v>
      </c>
    </row>
    <row r="289" spans="1:17" ht="7.5" customHeight="1"/>
    <row r="290" spans="1:17" s="268" customFormat="1" ht="49.9" customHeight="1">
      <c r="A290" s="350" t="s">
        <v>275</v>
      </c>
      <c r="B290" s="350"/>
      <c r="C290" s="351" t="s">
        <v>310</v>
      </c>
      <c r="D290" s="352"/>
      <c r="E290" s="353"/>
      <c r="F290" s="350" t="s">
        <v>14</v>
      </c>
      <c r="G290" s="350"/>
      <c r="H290" s="350" t="s">
        <v>15</v>
      </c>
      <c r="I290" s="350"/>
      <c r="J290" s="350"/>
      <c r="K290" s="350"/>
      <c r="L290" s="350"/>
      <c r="M290" s="351" t="s">
        <v>16</v>
      </c>
      <c r="N290" s="352"/>
      <c r="O290" s="353"/>
      <c r="P290" s="338" t="s">
        <v>237</v>
      </c>
      <c r="Q290" s="338"/>
    </row>
    <row r="291" spans="1:17" s="269" customFormat="1" ht="24.75" customHeight="1">
      <c r="A291" s="350"/>
      <c r="B291" s="350"/>
      <c r="C291" s="350" t="s">
        <v>276</v>
      </c>
      <c r="D291" s="350" t="s">
        <v>276</v>
      </c>
      <c r="E291" s="350" t="s">
        <v>276</v>
      </c>
      <c r="F291" s="350" t="s">
        <v>276</v>
      </c>
      <c r="G291" s="350" t="s">
        <v>276</v>
      </c>
      <c r="H291" s="350" t="s">
        <v>277</v>
      </c>
      <c r="I291" s="350"/>
      <c r="J291" s="350" t="s">
        <v>238</v>
      </c>
      <c r="K291" s="350"/>
      <c r="L291" s="350"/>
      <c r="M291" s="344" t="s">
        <v>334</v>
      </c>
      <c r="N291" s="344" t="s">
        <v>335</v>
      </c>
      <c r="O291" s="344" t="s">
        <v>336</v>
      </c>
      <c r="P291" s="338" t="s">
        <v>223</v>
      </c>
      <c r="Q291" s="340" t="s">
        <v>224</v>
      </c>
    </row>
    <row r="292" spans="1:17" s="269" customFormat="1" ht="19.899999999999999" customHeight="1">
      <c r="A292" s="350"/>
      <c r="B292" s="350"/>
      <c r="C292" s="350"/>
      <c r="D292" s="350"/>
      <c r="E292" s="350"/>
      <c r="F292" s="350"/>
      <c r="G292" s="350"/>
      <c r="H292" s="350"/>
      <c r="I292" s="350"/>
      <c r="J292" s="425" t="s">
        <v>278</v>
      </c>
      <c r="K292" s="426"/>
      <c r="L292" s="270" t="s">
        <v>279</v>
      </c>
      <c r="M292" s="345"/>
      <c r="N292" s="345"/>
      <c r="O292" s="345"/>
      <c r="P292" s="338"/>
      <c r="Q292" s="341"/>
    </row>
    <row r="293" spans="1:17" s="268" customFormat="1" ht="11.25" customHeight="1">
      <c r="A293" s="424">
        <v>1</v>
      </c>
      <c r="B293" s="424"/>
      <c r="C293" s="271">
        <v>2</v>
      </c>
      <c r="D293" s="271">
        <v>3</v>
      </c>
      <c r="E293" s="271">
        <v>4</v>
      </c>
      <c r="F293" s="271">
        <v>5</v>
      </c>
      <c r="G293" s="271">
        <v>6</v>
      </c>
      <c r="H293" s="424">
        <v>7</v>
      </c>
      <c r="I293" s="424"/>
      <c r="J293" s="425">
        <v>8</v>
      </c>
      <c r="K293" s="426"/>
      <c r="L293" s="271">
        <v>9</v>
      </c>
      <c r="M293" s="271">
        <v>10</v>
      </c>
      <c r="N293" s="271">
        <v>11</v>
      </c>
      <c r="O293" s="271">
        <v>12</v>
      </c>
      <c r="P293" s="271">
        <v>13</v>
      </c>
      <c r="Q293" s="271">
        <v>14</v>
      </c>
    </row>
    <row r="294" spans="1:17" s="268" customFormat="1" ht="36" customHeight="1">
      <c r="A294" s="399" t="s">
        <v>290</v>
      </c>
      <c r="B294" s="400"/>
      <c r="C294" s="405"/>
      <c r="D294" s="405"/>
      <c r="E294" s="405"/>
      <c r="F294" s="408" t="s">
        <v>43</v>
      </c>
      <c r="G294" s="405"/>
      <c r="H294" s="411" t="s">
        <v>309</v>
      </c>
      <c r="I294" s="412"/>
      <c r="J294" s="413" t="s">
        <v>49</v>
      </c>
      <c r="K294" s="414"/>
      <c r="L294" s="419">
        <v>744</v>
      </c>
      <c r="M294" s="272" t="s">
        <v>280</v>
      </c>
      <c r="N294" s="272" t="s">
        <v>280</v>
      </c>
      <c r="O294" s="272" t="s">
        <v>280</v>
      </c>
      <c r="P294" s="273"/>
      <c r="Q294" s="274"/>
    </row>
    <row r="295" spans="1:17" s="268" customFormat="1" ht="16.5" customHeight="1">
      <c r="A295" s="401"/>
      <c r="B295" s="402"/>
      <c r="C295" s="406"/>
      <c r="D295" s="406"/>
      <c r="E295" s="406"/>
      <c r="F295" s="409"/>
      <c r="G295" s="406"/>
      <c r="H295" s="422" t="s">
        <v>308</v>
      </c>
      <c r="I295" s="423"/>
      <c r="J295" s="415"/>
      <c r="K295" s="416"/>
      <c r="L295" s="420"/>
      <c r="M295" s="275" t="s">
        <v>281</v>
      </c>
      <c r="N295" s="275" t="s">
        <v>281</v>
      </c>
      <c r="O295" s="275" t="s">
        <v>281</v>
      </c>
      <c r="P295" s="273"/>
      <c r="Q295" s="274"/>
    </row>
    <row r="296" spans="1:17" s="268" customFormat="1">
      <c r="A296" s="403"/>
      <c r="B296" s="404"/>
      <c r="C296" s="407"/>
      <c r="D296" s="407"/>
      <c r="E296" s="407"/>
      <c r="F296" s="410"/>
      <c r="G296" s="407"/>
      <c r="H296" s="422" t="s">
        <v>282</v>
      </c>
      <c r="I296" s="423"/>
      <c r="J296" s="417"/>
      <c r="K296" s="418"/>
      <c r="L296" s="421"/>
      <c r="M296" s="275" t="s">
        <v>281</v>
      </c>
      <c r="N296" s="275" t="s">
        <v>281</v>
      </c>
      <c r="O296" s="275" t="s">
        <v>281</v>
      </c>
      <c r="P296" s="276"/>
      <c r="Q296" s="277"/>
    </row>
    <row r="297" spans="1:17" ht="32.25" hidden="1" customHeight="1">
      <c r="A297" s="355"/>
      <c r="B297" s="356"/>
      <c r="C297" s="278"/>
      <c r="D297" s="278"/>
      <c r="E297" s="278"/>
      <c r="F297" s="279" t="s">
        <v>44</v>
      </c>
      <c r="G297" s="278"/>
      <c r="H297" s="357" t="s">
        <v>48</v>
      </c>
      <c r="I297" s="358"/>
      <c r="J297" s="359" t="s">
        <v>49</v>
      </c>
      <c r="K297" s="360"/>
      <c r="L297" s="280">
        <v>744</v>
      </c>
      <c r="M297" s="275" t="s">
        <v>167</v>
      </c>
      <c r="N297" s="275" t="s">
        <v>167</v>
      </c>
      <c r="O297" s="275" t="s">
        <v>167</v>
      </c>
      <c r="P297" s="273"/>
      <c r="Q297" s="274"/>
    </row>
    <row r="298" spans="1:17" hidden="1">
      <c r="A298" s="328"/>
      <c r="B298" s="330"/>
      <c r="C298" s="274"/>
      <c r="D298" s="274"/>
      <c r="E298" s="274"/>
      <c r="F298" s="274"/>
      <c r="G298" s="274"/>
      <c r="H298" s="328"/>
      <c r="I298" s="330"/>
      <c r="J298" s="328"/>
      <c r="K298" s="330"/>
      <c r="L298" s="274"/>
      <c r="M298" s="274"/>
      <c r="N298" s="274"/>
      <c r="O298" s="328"/>
      <c r="P298" s="330"/>
    </row>
    <row r="299" spans="1:17" hidden="1">
      <c r="A299" s="328"/>
      <c r="B299" s="330"/>
      <c r="C299" s="274"/>
      <c r="D299" s="274"/>
      <c r="E299" s="274"/>
      <c r="F299" s="274"/>
      <c r="G299" s="274"/>
      <c r="H299" s="328"/>
      <c r="I299" s="330"/>
      <c r="J299" s="328"/>
      <c r="K299" s="330"/>
      <c r="L299" s="274"/>
      <c r="M299" s="274"/>
      <c r="N299" s="274"/>
      <c r="O299" s="328"/>
      <c r="P299" s="330"/>
    </row>
    <row r="300" spans="1:17" hidden="1">
      <c r="A300" s="328"/>
      <c r="B300" s="330"/>
      <c r="C300" s="274"/>
      <c r="D300" s="274"/>
      <c r="E300" s="274"/>
      <c r="F300" s="274"/>
      <c r="G300" s="274"/>
      <c r="H300" s="328"/>
      <c r="I300" s="330"/>
      <c r="J300" s="328"/>
      <c r="K300" s="330"/>
      <c r="L300" s="274"/>
      <c r="M300" s="274"/>
      <c r="N300" s="274"/>
      <c r="O300" s="328"/>
      <c r="P300" s="330"/>
    </row>
    <row r="301" spans="1:17" hidden="1">
      <c r="A301" s="328"/>
      <c r="B301" s="330"/>
      <c r="C301" s="274"/>
      <c r="D301" s="274"/>
      <c r="E301" s="274"/>
      <c r="F301" s="274"/>
      <c r="G301" s="274"/>
      <c r="H301" s="328"/>
      <c r="I301" s="330"/>
      <c r="J301" s="328"/>
      <c r="K301" s="330"/>
      <c r="L301" s="274"/>
      <c r="M301" s="274"/>
      <c r="N301" s="274"/>
      <c r="O301" s="328"/>
      <c r="P301" s="330"/>
    </row>
    <row r="302" spans="1:17" hidden="1">
      <c r="A302" s="328"/>
      <c r="B302" s="330"/>
      <c r="C302" s="274"/>
      <c r="D302" s="274"/>
      <c r="E302" s="274"/>
      <c r="F302" s="274"/>
      <c r="G302" s="274"/>
      <c r="H302" s="328"/>
      <c r="I302" s="330"/>
      <c r="J302" s="328"/>
      <c r="K302" s="330"/>
      <c r="L302" s="274"/>
      <c r="M302" s="274"/>
      <c r="N302" s="274"/>
      <c r="O302" s="328"/>
      <c r="P302" s="330"/>
    </row>
    <row r="303" spans="1:17" hidden="1">
      <c r="A303" s="328"/>
      <c r="B303" s="330"/>
      <c r="C303" s="274"/>
      <c r="D303" s="274"/>
      <c r="E303" s="274"/>
      <c r="F303" s="274"/>
      <c r="G303" s="274"/>
      <c r="H303" s="328"/>
      <c r="I303" s="330"/>
      <c r="J303" s="328"/>
      <c r="K303" s="330"/>
      <c r="L303" s="274"/>
      <c r="M303" s="274"/>
      <c r="N303" s="274"/>
      <c r="O303" s="328"/>
      <c r="P303" s="330"/>
    </row>
    <row r="304" spans="1:17" ht="7.5" customHeight="1"/>
    <row r="305" spans="1:21" ht="3.75" customHeight="1">
      <c r="D305" s="302"/>
    </row>
    <row r="306" spans="1:21">
      <c r="A306" s="207" t="s">
        <v>20</v>
      </c>
    </row>
    <row r="307" spans="1:21" ht="5.25" customHeight="1"/>
    <row r="308" spans="1:21" ht="45.75" customHeight="1">
      <c r="A308" s="391" t="s">
        <v>12</v>
      </c>
      <c r="B308" s="392"/>
      <c r="C308" s="354" t="s">
        <v>13</v>
      </c>
      <c r="D308" s="346"/>
      <c r="E308" s="347"/>
      <c r="F308" s="397" t="s">
        <v>14</v>
      </c>
      <c r="G308" s="397"/>
      <c r="H308" s="338" t="s">
        <v>18</v>
      </c>
      <c r="I308" s="338"/>
      <c r="J308" s="338"/>
      <c r="K308" s="338" t="s">
        <v>19</v>
      </c>
      <c r="L308" s="338"/>
      <c r="M308" s="338"/>
      <c r="N308" s="346" t="s">
        <v>319</v>
      </c>
      <c r="O308" s="346"/>
      <c r="P308" s="347"/>
      <c r="Q308" s="338" t="s">
        <v>320</v>
      </c>
      <c r="R308" s="338"/>
    </row>
    <row r="309" spans="1:21" ht="42" customHeight="1">
      <c r="A309" s="393"/>
      <c r="B309" s="394"/>
      <c r="C309" s="350" t="s">
        <v>276</v>
      </c>
      <c r="D309" s="350" t="s">
        <v>276</v>
      </c>
      <c r="E309" s="350" t="s">
        <v>276</v>
      </c>
      <c r="F309" s="350" t="s">
        <v>276</v>
      </c>
      <c r="G309" s="350" t="s">
        <v>276</v>
      </c>
      <c r="H309" s="338" t="s">
        <v>311</v>
      </c>
      <c r="I309" s="338" t="s">
        <v>238</v>
      </c>
      <c r="J309" s="338"/>
      <c r="K309" s="344" t="s">
        <v>334</v>
      </c>
      <c r="L309" s="344" t="s">
        <v>335</v>
      </c>
      <c r="M309" s="344" t="s">
        <v>336</v>
      </c>
      <c r="N309" s="344" t="s">
        <v>334</v>
      </c>
      <c r="O309" s="344" t="s">
        <v>335</v>
      </c>
      <c r="P309" s="344" t="s">
        <v>336</v>
      </c>
      <c r="Q309" s="339" t="s">
        <v>223</v>
      </c>
      <c r="R309" s="340" t="s">
        <v>224</v>
      </c>
      <c r="U309" s="207" t="s">
        <v>62</v>
      </c>
    </row>
    <row r="310" spans="1:21" ht="24" customHeight="1">
      <c r="A310" s="395"/>
      <c r="B310" s="396"/>
      <c r="C310" s="350"/>
      <c r="D310" s="350"/>
      <c r="E310" s="350"/>
      <c r="F310" s="350"/>
      <c r="G310" s="350"/>
      <c r="H310" s="338"/>
      <c r="I310" s="282" t="s">
        <v>322</v>
      </c>
      <c r="J310" s="270" t="s">
        <v>279</v>
      </c>
      <c r="K310" s="345"/>
      <c r="L310" s="345"/>
      <c r="M310" s="345"/>
      <c r="N310" s="345"/>
      <c r="O310" s="345"/>
      <c r="P310" s="345"/>
      <c r="Q310" s="339"/>
      <c r="R310" s="341"/>
    </row>
    <row r="311" spans="1:21" s="294" customFormat="1" ht="7.5">
      <c r="A311" s="388">
        <v>1</v>
      </c>
      <c r="B311" s="389"/>
      <c r="C311" s="284">
        <v>2</v>
      </c>
      <c r="D311" s="284">
        <v>3</v>
      </c>
      <c r="E311" s="284">
        <v>4</v>
      </c>
      <c r="F311" s="284">
        <v>5</v>
      </c>
      <c r="G311" s="284">
        <v>6</v>
      </c>
      <c r="H311" s="284">
        <v>7</v>
      </c>
      <c r="I311" s="284">
        <v>8</v>
      </c>
      <c r="J311" s="284">
        <v>9</v>
      </c>
      <c r="K311" s="284">
        <v>10</v>
      </c>
      <c r="L311" s="284">
        <v>11</v>
      </c>
      <c r="M311" s="284">
        <v>12</v>
      </c>
      <c r="N311" s="284">
        <v>13</v>
      </c>
      <c r="O311" s="284">
        <v>14</v>
      </c>
      <c r="P311" s="284">
        <v>15</v>
      </c>
      <c r="Q311" s="284">
        <v>13</v>
      </c>
      <c r="R311" s="285">
        <v>14</v>
      </c>
    </row>
    <row r="312" spans="1:21" ht="27.75" customHeight="1">
      <c r="A312" s="390" t="str">
        <f>A294</f>
        <v>802111О.99.0.БА96АА00001</v>
      </c>
      <c r="B312" s="356"/>
      <c r="C312" s="278"/>
      <c r="D312" s="278"/>
      <c r="E312" s="278"/>
      <c r="F312" s="278" t="s">
        <v>43</v>
      </c>
      <c r="G312" s="278"/>
      <c r="H312" s="279" t="s">
        <v>45</v>
      </c>
      <c r="I312" s="286" t="s">
        <v>46</v>
      </c>
      <c r="J312" s="278">
        <v>792</v>
      </c>
      <c r="K312" s="278">
        <f>'проверка 2020'!L4</f>
        <v>8</v>
      </c>
      <c r="L312" s="278">
        <f>'проверка 2021'!L4</f>
        <v>6</v>
      </c>
      <c r="M312" s="278">
        <f>'проверка 2022'!L4</f>
        <v>4</v>
      </c>
      <c r="N312" s="278"/>
      <c r="O312" s="278"/>
      <c r="P312" s="278"/>
      <c r="Q312" s="287">
        <v>0.05</v>
      </c>
      <c r="R312" s="274"/>
    </row>
    <row r="313" spans="1:21" ht="23.25" hidden="1">
      <c r="A313" s="390">
        <f>A297</f>
        <v>0</v>
      </c>
      <c r="B313" s="356"/>
      <c r="C313" s="278"/>
      <c r="D313" s="278"/>
      <c r="E313" s="278"/>
      <c r="F313" s="279" t="s">
        <v>44</v>
      </c>
      <c r="G313" s="278"/>
      <c r="H313" s="279" t="s">
        <v>45</v>
      </c>
      <c r="I313" s="286" t="s">
        <v>46</v>
      </c>
      <c r="J313" s="278">
        <v>792</v>
      </c>
      <c r="K313" s="278"/>
      <c r="L313" s="278"/>
      <c r="M313" s="278"/>
      <c r="N313" s="278"/>
      <c r="O313" s="286"/>
      <c r="P313" s="286"/>
      <c r="Q313" s="273"/>
      <c r="R313" s="274"/>
    </row>
    <row r="314" spans="1:21" hidden="1">
      <c r="A314" s="286"/>
      <c r="B314" s="286"/>
      <c r="C314" s="278"/>
      <c r="D314" s="278"/>
      <c r="E314" s="278"/>
      <c r="F314" s="278"/>
      <c r="G314" s="278"/>
      <c r="H314" s="286"/>
      <c r="I314" s="286"/>
      <c r="J314" s="278"/>
      <c r="K314" s="278"/>
      <c r="L314" s="278"/>
      <c r="M314" s="278"/>
      <c r="N314" s="278"/>
      <c r="O314" s="288"/>
      <c r="P314" s="289"/>
    </row>
    <row r="315" spans="1:21" hidden="1">
      <c r="A315" s="290"/>
      <c r="B315" s="290"/>
      <c r="C315" s="274"/>
      <c r="D315" s="274"/>
      <c r="E315" s="274"/>
      <c r="F315" s="274"/>
      <c r="G315" s="274"/>
      <c r="H315" s="290"/>
      <c r="I315" s="290"/>
      <c r="J315" s="274"/>
      <c r="K315" s="274"/>
      <c r="L315" s="274"/>
      <c r="M315" s="274"/>
      <c r="N315" s="274"/>
      <c r="O315" s="291"/>
      <c r="P315" s="292"/>
    </row>
    <row r="316" spans="1:21" hidden="1">
      <c r="A316" s="290"/>
      <c r="B316" s="290"/>
      <c r="C316" s="274"/>
      <c r="D316" s="274"/>
      <c r="E316" s="274"/>
      <c r="F316" s="274"/>
      <c r="G316" s="274"/>
      <c r="H316" s="290"/>
      <c r="I316" s="290"/>
      <c r="J316" s="274"/>
      <c r="K316" s="274"/>
      <c r="L316" s="274"/>
      <c r="M316" s="274"/>
      <c r="N316" s="274"/>
      <c r="O316" s="291"/>
      <c r="P316" s="292"/>
    </row>
    <row r="317" spans="1:21" hidden="1">
      <c r="A317" s="290"/>
      <c r="B317" s="290"/>
      <c r="C317" s="274"/>
      <c r="D317" s="274"/>
      <c r="E317" s="274"/>
      <c r="F317" s="274"/>
      <c r="G317" s="274"/>
      <c r="H317" s="290"/>
      <c r="I317" s="290"/>
      <c r="J317" s="274"/>
      <c r="K317" s="274"/>
      <c r="L317" s="274"/>
      <c r="M317" s="274"/>
      <c r="N317" s="274"/>
      <c r="O317" s="291"/>
      <c r="P317" s="292"/>
    </row>
    <row r="318" spans="1:21" hidden="1">
      <c r="A318" s="290"/>
      <c r="B318" s="290"/>
      <c r="C318" s="274"/>
      <c r="D318" s="274"/>
      <c r="E318" s="274"/>
      <c r="F318" s="274"/>
      <c r="G318" s="274"/>
      <c r="H318" s="290"/>
      <c r="I318" s="290"/>
      <c r="J318" s="274"/>
      <c r="K318" s="274"/>
      <c r="L318" s="274"/>
      <c r="M318" s="274"/>
      <c r="N318" s="274"/>
      <c r="O318" s="291"/>
      <c r="P318" s="292"/>
    </row>
    <row r="319" spans="1:21" hidden="1">
      <c r="A319" s="290"/>
      <c r="B319" s="290"/>
      <c r="C319" s="274"/>
      <c r="D319" s="274"/>
      <c r="E319" s="274"/>
      <c r="F319" s="274"/>
      <c r="G319" s="274"/>
      <c r="H319" s="290"/>
      <c r="I319" s="290"/>
      <c r="J319" s="274"/>
      <c r="K319" s="274"/>
      <c r="L319" s="274"/>
      <c r="M319" s="274"/>
      <c r="N319" s="274"/>
      <c r="O319" s="291"/>
      <c r="P319" s="292"/>
    </row>
    <row r="320" spans="1:21" ht="6" customHeight="1"/>
    <row r="321" spans="1:16" ht="6" customHeight="1">
      <c r="D321" s="302"/>
    </row>
    <row r="322" spans="1:16">
      <c r="A322" s="207" t="s">
        <v>328</v>
      </c>
    </row>
    <row r="323" spans="1:16" ht="8.25" customHeight="1"/>
    <row r="324" spans="1:16">
      <c r="A324" s="326" t="s">
        <v>25</v>
      </c>
      <c r="B324" s="326"/>
      <c r="C324" s="326"/>
      <c r="D324" s="326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</row>
    <row r="325" spans="1:16">
      <c r="A325" s="293" t="s">
        <v>21</v>
      </c>
      <c r="B325" s="326" t="s">
        <v>22</v>
      </c>
      <c r="C325" s="326"/>
      <c r="D325" s="326"/>
      <c r="E325" s="293" t="s">
        <v>23</v>
      </c>
      <c r="F325" s="293" t="s">
        <v>24</v>
      </c>
      <c r="G325" s="326" t="s">
        <v>17</v>
      </c>
      <c r="H325" s="326"/>
      <c r="I325" s="326"/>
      <c r="J325" s="326"/>
      <c r="K325" s="326"/>
      <c r="L325" s="326"/>
      <c r="M325" s="326"/>
      <c r="N325" s="326"/>
      <c r="O325" s="326"/>
      <c r="P325" s="326"/>
    </row>
    <row r="326" spans="1:16" s="294" customFormat="1" ht="7.5">
      <c r="A326" s="285">
        <v>1</v>
      </c>
      <c r="B326" s="376">
        <v>2</v>
      </c>
      <c r="C326" s="376"/>
      <c r="D326" s="376"/>
      <c r="E326" s="285">
        <v>3</v>
      </c>
      <c r="F326" s="285">
        <v>4</v>
      </c>
      <c r="G326" s="376">
        <v>5</v>
      </c>
      <c r="H326" s="376"/>
      <c r="I326" s="376"/>
      <c r="J326" s="376"/>
      <c r="K326" s="376"/>
      <c r="L326" s="376"/>
      <c r="M326" s="376"/>
      <c r="N326" s="376"/>
      <c r="O326" s="376"/>
      <c r="P326" s="376"/>
    </row>
    <row r="327" spans="1:16" s="296" customFormat="1" ht="33" customHeight="1">
      <c r="A327" s="283" t="s">
        <v>168</v>
      </c>
      <c r="B327" s="354" t="s">
        <v>169</v>
      </c>
      <c r="C327" s="346"/>
      <c r="D327" s="347"/>
      <c r="E327" s="295">
        <v>43306</v>
      </c>
      <c r="F327" s="283">
        <v>129</v>
      </c>
      <c r="G327" s="377" t="s">
        <v>298</v>
      </c>
      <c r="H327" s="378"/>
      <c r="I327" s="378"/>
      <c r="J327" s="378"/>
      <c r="K327" s="378"/>
      <c r="L327" s="378"/>
      <c r="M327" s="378"/>
      <c r="N327" s="378"/>
      <c r="O327" s="378"/>
      <c r="P327" s="379"/>
    </row>
    <row r="328" spans="1:16" s="300" customFormat="1" ht="23.25" customHeight="1">
      <c r="A328" s="297" t="s">
        <v>241</v>
      </c>
      <c r="B328" s="380" t="s">
        <v>242</v>
      </c>
      <c r="C328" s="380"/>
      <c r="D328" s="380"/>
      <c r="E328" s="298">
        <v>44190</v>
      </c>
      <c r="F328" s="299" t="s">
        <v>338</v>
      </c>
      <c r="G328" s="381" t="s">
        <v>337</v>
      </c>
      <c r="H328" s="381"/>
      <c r="I328" s="381"/>
      <c r="J328" s="381"/>
      <c r="K328" s="381"/>
      <c r="L328" s="381"/>
      <c r="M328" s="381"/>
      <c r="N328" s="381"/>
      <c r="O328" s="381"/>
      <c r="P328" s="381"/>
    </row>
    <row r="329" spans="1:16" s="296" customFormat="1" ht="35.25" customHeight="1">
      <c r="A329" s="278" t="s">
        <v>241</v>
      </c>
      <c r="B329" s="382" t="s">
        <v>242</v>
      </c>
      <c r="C329" s="382"/>
      <c r="D329" s="382"/>
      <c r="E329" s="301">
        <v>43600</v>
      </c>
      <c r="F329" s="278" t="s">
        <v>300</v>
      </c>
      <c r="G329" s="366" t="s">
        <v>299</v>
      </c>
      <c r="H329" s="383"/>
      <c r="I329" s="383"/>
      <c r="J329" s="383"/>
      <c r="K329" s="383"/>
      <c r="L329" s="383"/>
      <c r="M329" s="383"/>
      <c r="N329" s="383"/>
      <c r="O329" s="383"/>
      <c r="P329" s="384"/>
    </row>
    <row r="330" spans="1:16" s="296" customFormat="1" ht="11.25" hidden="1">
      <c r="A330" s="278"/>
      <c r="B330" s="372"/>
      <c r="C330" s="372"/>
      <c r="D330" s="372"/>
      <c r="E330" s="278"/>
      <c r="F330" s="278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</row>
    <row r="331" spans="1:16" ht="5.25" customHeight="1"/>
    <row r="332" spans="1:16">
      <c r="A332" s="207" t="s">
        <v>26</v>
      </c>
    </row>
    <row r="333" spans="1:16" ht="3" customHeight="1"/>
    <row r="334" spans="1:16">
      <c r="A334" s="207" t="s">
        <v>27</v>
      </c>
    </row>
    <row r="335" spans="1:16" ht="98.25" customHeight="1">
      <c r="A335" s="374" t="s">
        <v>233</v>
      </c>
      <c r="B335" s="374"/>
      <c r="C335" s="374"/>
      <c r="D335" s="374"/>
      <c r="E335" s="374"/>
      <c r="F335" s="374"/>
      <c r="G335" s="374"/>
      <c r="H335" s="374"/>
      <c r="I335" s="374"/>
      <c r="J335" s="374"/>
      <c r="K335" s="374"/>
      <c r="L335" s="374"/>
      <c r="M335" s="374"/>
      <c r="N335" s="374"/>
      <c r="O335" s="374"/>
      <c r="P335" s="374"/>
    </row>
    <row r="336" spans="1:16">
      <c r="A336" s="375" t="s">
        <v>28</v>
      </c>
      <c r="B336" s="375"/>
      <c r="C336" s="375"/>
      <c r="D336" s="375"/>
      <c r="E336" s="375"/>
      <c r="F336" s="375"/>
      <c r="G336" s="375"/>
      <c r="H336" s="375"/>
      <c r="I336" s="375"/>
      <c r="J336" s="375"/>
      <c r="K336" s="375"/>
      <c r="L336" s="375"/>
    </row>
    <row r="337" spans="1:16" ht="3.75" customHeight="1"/>
    <row r="338" spans="1:16">
      <c r="A338" s="207" t="s">
        <v>29</v>
      </c>
    </row>
    <row r="340" spans="1:16" ht="10.5" customHeight="1">
      <c r="A340" s="326" t="s">
        <v>30</v>
      </c>
      <c r="B340" s="326"/>
      <c r="C340" s="326"/>
      <c r="D340" s="326" t="s">
        <v>31</v>
      </c>
      <c r="E340" s="326"/>
      <c r="F340" s="326"/>
      <c r="G340" s="326"/>
      <c r="H340" s="326" t="s">
        <v>32</v>
      </c>
      <c r="I340" s="326"/>
      <c r="J340" s="326"/>
      <c r="K340" s="326"/>
    </row>
    <row r="341" spans="1:16" s="294" customFormat="1" ht="7.5" hidden="1">
      <c r="A341" s="376">
        <v>1</v>
      </c>
      <c r="B341" s="376"/>
      <c r="C341" s="376"/>
      <c r="D341" s="376">
        <v>2</v>
      </c>
      <c r="E341" s="376"/>
      <c r="F341" s="376"/>
      <c r="G341" s="376"/>
      <c r="H341" s="376">
        <v>3</v>
      </c>
      <c r="I341" s="376"/>
      <c r="J341" s="376"/>
      <c r="K341" s="376"/>
    </row>
    <row r="342" spans="1:16" ht="357.6" customHeight="1">
      <c r="A342" s="363" t="s">
        <v>175</v>
      </c>
      <c r="B342" s="364"/>
      <c r="C342" s="365"/>
      <c r="D342" s="366" t="s">
        <v>228</v>
      </c>
      <c r="E342" s="367"/>
      <c r="F342" s="367"/>
      <c r="G342" s="368"/>
      <c r="H342" s="369" t="s">
        <v>229</v>
      </c>
      <c r="I342" s="370"/>
      <c r="J342" s="370"/>
      <c r="K342" s="371"/>
    </row>
    <row r="343" spans="1:16" hidden="1">
      <c r="A343" s="322" t="s">
        <v>289</v>
      </c>
      <c r="B343" s="322"/>
      <c r="C343" s="322"/>
      <c r="D343" s="322"/>
      <c r="E343" s="322"/>
      <c r="F343" s="322"/>
      <c r="G343" s="322"/>
      <c r="H343" s="322"/>
      <c r="I343" s="322"/>
      <c r="J343" s="322"/>
      <c r="K343" s="322"/>
      <c r="L343" s="322"/>
      <c r="M343" s="322"/>
      <c r="N343" s="322"/>
      <c r="O343" s="322"/>
      <c r="P343" s="322"/>
    </row>
    <row r="344" spans="1:16" ht="7.5" hidden="1" customHeight="1"/>
    <row r="345" spans="1:16" hidden="1">
      <c r="A345" s="207" t="s">
        <v>7</v>
      </c>
      <c r="E345" s="348" t="s">
        <v>163</v>
      </c>
      <c r="F345" s="348"/>
      <c r="G345" s="348"/>
      <c r="H345" s="348"/>
      <c r="I345" s="348"/>
      <c r="J345" s="348"/>
      <c r="K345" s="348"/>
      <c r="L345" s="348"/>
      <c r="M345" s="342" t="s">
        <v>315</v>
      </c>
      <c r="N345" s="343"/>
      <c r="O345" s="326" t="s">
        <v>286</v>
      </c>
      <c r="P345" s="326"/>
    </row>
    <row r="346" spans="1:16" ht="17.25" hidden="1" customHeight="1">
      <c r="A346" s="349" t="s">
        <v>51</v>
      </c>
      <c r="B346" s="349"/>
      <c r="C346" s="349"/>
      <c r="D346" s="349"/>
      <c r="E346" s="349"/>
      <c r="F346" s="349"/>
      <c r="G346" s="349"/>
      <c r="H346" s="349"/>
      <c r="I346" s="349"/>
      <c r="J346" s="349"/>
      <c r="K346" s="349"/>
      <c r="L346" s="349"/>
      <c r="M346" s="342"/>
      <c r="N346" s="343"/>
      <c r="O346" s="326"/>
      <c r="P346" s="326"/>
    </row>
    <row r="347" spans="1:16" hidden="1">
      <c r="A347" s="207" t="s">
        <v>8</v>
      </c>
      <c r="M347" s="342"/>
      <c r="N347" s="343"/>
      <c r="O347" s="326"/>
      <c r="P347" s="326"/>
    </row>
    <row r="348" spans="1:16" hidden="1">
      <c r="A348" s="349" t="s">
        <v>52</v>
      </c>
      <c r="B348" s="349"/>
      <c r="C348" s="349"/>
      <c r="D348" s="349"/>
      <c r="E348" s="349"/>
      <c r="F348" s="349"/>
      <c r="G348" s="349"/>
      <c r="H348" s="349"/>
      <c r="I348" s="349"/>
      <c r="J348" s="349"/>
      <c r="K348" s="349"/>
      <c r="L348" s="349"/>
      <c r="M348" s="349"/>
      <c r="N348" s="349"/>
    </row>
    <row r="349" spans="1:16" ht="4.5" hidden="1" customHeight="1">
      <c r="A349" s="264"/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</row>
    <row r="350" spans="1:16" hidden="1">
      <c r="A350" s="207" t="s">
        <v>9</v>
      </c>
    </row>
    <row r="351" spans="1:16" ht="5.25" hidden="1" customHeight="1"/>
    <row r="352" spans="1:16" hidden="1">
      <c r="A352" s="207" t="s">
        <v>236</v>
      </c>
    </row>
    <row r="353" spans="1:17" ht="7.5" hidden="1" customHeight="1"/>
    <row r="354" spans="1:17" s="268" customFormat="1" ht="49.9" hidden="1" customHeight="1">
      <c r="A354" s="350" t="s">
        <v>275</v>
      </c>
      <c r="B354" s="350"/>
      <c r="C354" s="351" t="s">
        <v>310</v>
      </c>
      <c r="D354" s="352"/>
      <c r="E354" s="353"/>
      <c r="F354" s="350" t="s">
        <v>14</v>
      </c>
      <c r="G354" s="350"/>
      <c r="H354" s="350" t="s">
        <v>15</v>
      </c>
      <c r="I354" s="350"/>
      <c r="J354" s="350"/>
      <c r="K354" s="350"/>
      <c r="L354" s="350"/>
      <c r="M354" s="351" t="s">
        <v>16</v>
      </c>
      <c r="N354" s="352"/>
      <c r="O354" s="353"/>
      <c r="P354" s="338" t="s">
        <v>237</v>
      </c>
      <c r="Q354" s="338"/>
    </row>
    <row r="355" spans="1:17" s="269" customFormat="1" ht="24.75" hidden="1" customHeight="1">
      <c r="A355" s="350"/>
      <c r="B355" s="350"/>
      <c r="C355" s="350" t="s">
        <v>276</v>
      </c>
      <c r="D355" s="350" t="s">
        <v>276</v>
      </c>
      <c r="E355" s="350" t="s">
        <v>276</v>
      </c>
      <c r="F355" s="350" t="s">
        <v>276</v>
      </c>
      <c r="G355" s="350" t="s">
        <v>276</v>
      </c>
      <c r="H355" s="350" t="s">
        <v>277</v>
      </c>
      <c r="I355" s="350"/>
      <c r="J355" s="350" t="s">
        <v>238</v>
      </c>
      <c r="K355" s="350"/>
      <c r="L355" s="350"/>
      <c r="M355" s="344" t="s">
        <v>334</v>
      </c>
      <c r="N355" s="344" t="s">
        <v>335</v>
      </c>
      <c r="O355" s="344" t="s">
        <v>336</v>
      </c>
      <c r="P355" s="338" t="s">
        <v>223</v>
      </c>
      <c r="Q355" s="340" t="s">
        <v>224</v>
      </c>
    </row>
    <row r="356" spans="1:17" s="269" customFormat="1" ht="19.899999999999999" hidden="1" customHeight="1">
      <c r="A356" s="350"/>
      <c r="B356" s="350"/>
      <c r="C356" s="350"/>
      <c r="D356" s="350"/>
      <c r="E356" s="350"/>
      <c r="F356" s="350"/>
      <c r="G356" s="350"/>
      <c r="H356" s="350"/>
      <c r="I356" s="350"/>
      <c r="J356" s="425" t="s">
        <v>278</v>
      </c>
      <c r="K356" s="426"/>
      <c r="L356" s="270" t="s">
        <v>279</v>
      </c>
      <c r="M356" s="345"/>
      <c r="N356" s="345"/>
      <c r="O356" s="345"/>
      <c r="P356" s="338"/>
      <c r="Q356" s="341"/>
    </row>
    <row r="357" spans="1:17" s="268" customFormat="1" ht="11.25" hidden="1" customHeight="1">
      <c r="A357" s="424">
        <v>1</v>
      </c>
      <c r="B357" s="424"/>
      <c r="C357" s="271">
        <v>2</v>
      </c>
      <c r="D357" s="271">
        <v>3</v>
      </c>
      <c r="E357" s="271">
        <v>4</v>
      </c>
      <c r="F357" s="271">
        <v>5</v>
      </c>
      <c r="G357" s="271">
        <v>6</v>
      </c>
      <c r="H357" s="424">
        <v>7</v>
      </c>
      <c r="I357" s="424"/>
      <c r="J357" s="425">
        <v>8</v>
      </c>
      <c r="K357" s="426"/>
      <c r="L357" s="271">
        <v>9</v>
      </c>
      <c r="M357" s="271">
        <v>10</v>
      </c>
      <c r="N357" s="271">
        <v>11</v>
      </c>
      <c r="O357" s="271">
        <v>12</v>
      </c>
      <c r="P357" s="271">
        <v>13</v>
      </c>
      <c r="Q357" s="271">
        <v>14</v>
      </c>
    </row>
    <row r="358" spans="1:17" s="268" customFormat="1" ht="36" hidden="1" customHeight="1">
      <c r="A358" s="399" t="s">
        <v>291</v>
      </c>
      <c r="B358" s="400"/>
      <c r="C358" s="405"/>
      <c r="D358" s="405"/>
      <c r="E358" s="405"/>
      <c r="F358" s="408" t="s">
        <v>43</v>
      </c>
      <c r="G358" s="405"/>
      <c r="H358" s="411" t="s">
        <v>309</v>
      </c>
      <c r="I358" s="412"/>
      <c r="J358" s="413" t="s">
        <v>49</v>
      </c>
      <c r="K358" s="414"/>
      <c r="L358" s="419">
        <v>744</v>
      </c>
      <c r="M358" s="272" t="s">
        <v>280</v>
      </c>
      <c r="N358" s="272" t="s">
        <v>280</v>
      </c>
      <c r="O358" s="272" t="s">
        <v>280</v>
      </c>
      <c r="P358" s="273"/>
      <c r="Q358" s="274"/>
    </row>
    <row r="359" spans="1:17" s="268" customFormat="1" ht="16.5" hidden="1" customHeight="1">
      <c r="A359" s="401"/>
      <c r="B359" s="402"/>
      <c r="C359" s="406"/>
      <c r="D359" s="406"/>
      <c r="E359" s="406"/>
      <c r="F359" s="409"/>
      <c r="G359" s="406"/>
      <c r="H359" s="422" t="s">
        <v>308</v>
      </c>
      <c r="I359" s="423"/>
      <c r="J359" s="415"/>
      <c r="K359" s="416"/>
      <c r="L359" s="420"/>
      <c r="M359" s="275" t="s">
        <v>281</v>
      </c>
      <c r="N359" s="275" t="s">
        <v>281</v>
      </c>
      <c r="O359" s="275" t="s">
        <v>281</v>
      </c>
      <c r="P359" s="273"/>
      <c r="Q359" s="274"/>
    </row>
    <row r="360" spans="1:17" s="268" customFormat="1" hidden="1">
      <c r="A360" s="403"/>
      <c r="B360" s="404"/>
      <c r="C360" s="407"/>
      <c r="D360" s="407"/>
      <c r="E360" s="407"/>
      <c r="F360" s="410"/>
      <c r="G360" s="407"/>
      <c r="H360" s="422" t="s">
        <v>282</v>
      </c>
      <c r="I360" s="423"/>
      <c r="J360" s="417"/>
      <c r="K360" s="418"/>
      <c r="L360" s="421"/>
      <c r="M360" s="275" t="s">
        <v>281</v>
      </c>
      <c r="N360" s="275" t="s">
        <v>281</v>
      </c>
      <c r="O360" s="275" t="s">
        <v>281</v>
      </c>
      <c r="P360" s="276"/>
      <c r="Q360" s="277"/>
    </row>
    <row r="361" spans="1:17" ht="32.25" hidden="1" customHeight="1">
      <c r="A361" s="355"/>
      <c r="B361" s="356"/>
      <c r="C361" s="278"/>
      <c r="D361" s="278"/>
      <c r="E361" s="278"/>
      <c r="F361" s="279" t="s">
        <v>44</v>
      </c>
      <c r="G361" s="278"/>
      <c r="H361" s="357" t="s">
        <v>48</v>
      </c>
      <c r="I361" s="358"/>
      <c r="J361" s="359" t="s">
        <v>49</v>
      </c>
      <c r="K361" s="360"/>
      <c r="L361" s="280">
        <v>744</v>
      </c>
      <c r="M361" s="275" t="s">
        <v>167</v>
      </c>
      <c r="N361" s="275" t="s">
        <v>167</v>
      </c>
      <c r="O361" s="275" t="s">
        <v>167</v>
      </c>
      <c r="P361" s="273"/>
      <c r="Q361" s="274"/>
    </row>
    <row r="362" spans="1:17" hidden="1">
      <c r="A362" s="328"/>
      <c r="B362" s="330"/>
      <c r="C362" s="274"/>
      <c r="D362" s="274"/>
      <c r="E362" s="274"/>
      <c r="F362" s="274"/>
      <c r="G362" s="274"/>
      <c r="H362" s="328"/>
      <c r="I362" s="330"/>
      <c r="J362" s="328"/>
      <c r="K362" s="330"/>
      <c r="L362" s="274"/>
      <c r="M362" s="274"/>
      <c r="N362" s="274"/>
      <c r="O362" s="328"/>
      <c r="P362" s="330"/>
    </row>
    <row r="363" spans="1:17" hidden="1">
      <c r="A363" s="328"/>
      <c r="B363" s="330"/>
      <c r="C363" s="274"/>
      <c r="D363" s="274"/>
      <c r="E363" s="274"/>
      <c r="F363" s="274"/>
      <c r="G363" s="274"/>
      <c r="H363" s="328"/>
      <c r="I363" s="330"/>
      <c r="J363" s="328"/>
      <c r="K363" s="330"/>
      <c r="L363" s="274"/>
      <c r="M363" s="274"/>
      <c r="N363" s="274"/>
      <c r="O363" s="328"/>
      <c r="P363" s="330"/>
    </row>
    <row r="364" spans="1:17" hidden="1">
      <c r="A364" s="328"/>
      <c r="B364" s="330"/>
      <c r="C364" s="274"/>
      <c r="D364" s="274"/>
      <c r="E364" s="274"/>
      <c r="F364" s="274"/>
      <c r="G364" s="274"/>
      <c r="H364" s="328"/>
      <c r="I364" s="330"/>
      <c r="J364" s="328"/>
      <c r="K364" s="330"/>
      <c r="L364" s="274"/>
      <c r="M364" s="274"/>
      <c r="N364" s="274"/>
      <c r="O364" s="328"/>
      <c r="P364" s="330"/>
    </row>
    <row r="365" spans="1:17" hidden="1">
      <c r="A365" s="328"/>
      <c r="B365" s="330"/>
      <c r="C365" s="274"/>
      <c r="D365" s="274"/>
      <c r="E365" s="274"/>
      <c r="F365" s="274"/>
      <c r="G365" s="274"/>
      <c r="H365" s="328"/>
      <c r="I365" s="330"/>
      <c r="J365" s="328"/>
      <c r="K365" s="330"/>
      <c r="L365" s="274"/>
      <c r="M365" s="274"/>
      <c r="N365" s="274"/>
      <c r="O365" s="328"/>
      <c r="P365" s="330"/>
    </row>
    <row r="366" spans="1:17" hidden="1">
      <c r="A366" s="328"/>
      <c r="B366" s="330"/>
      <c r="C366" s="274"/>
      <c r="D366" s="274"/>
      <c r="E366" s="274"/>
      <c r="F366" s="274"/>
      <c r="G366" s="274"/>
      <c r="H366" s="328"/>
      <c r="I366" s="330"/>
      <c r="J366" s="328"/>
      <c r="K366" s="330"/>
      <c r="L366" s="274"/>
      <c r="M366" s="274"/>
      <c r="N366" s="274"/>
      <c r="O366" s="328"/>
      <c r="P366" s="330"/>
    </row>
    <row r="367" spans="1:17" hidden="1">
      <c r="A367" s="328"/>
      <c r="B367" s="330"/>
      <c r="C367" s="274"/>
      <c r="D367" s="274"/>
      <c r="E367" s="274"/>
      <c r="F367" s="274"/>
      <c r="G367" s="274"/>
      <c r="H367" s="328"/>
      <c r="I367" s="330"/>
      <c r="J367" s="328"/>
      <c r="K367" s="330"/>
      <c r="L367" s="274"/>
      <c r="M367" s="274"/>
      <c r="N367" s="274"/>
      <c r="O367" s="328"/>
      <c r="P367" s="330"/>
    </row>
    <row r="368" spans="1:17" ht="7.5" hidden="1" customHeight="1"/>
    <row r="369" spans="1:21" ht="3.75" hidden="1" customHeight="1">
      <c r="D369" s="302"/>
    </row>
    <row r="370" spans="1:21" hidden="1">
      <c r="A370" s="207" t="s">
        <v>20</v>
      </c>
    </row>
    <row r="371" spans="1:21" ht="5.25" hidden="1" customHeight="1"/>
    <row r="372" spans="1:21" ht="45.75" hidden="1" customHeight="1">
      <c r="A372" s="391" t="s">
        <v>12</v>
      </c>
      <c r="B372" s="392"/>
      <c r="C372" s="354" t="s">
        <v>13</v>
      </c>
      <c r="D372" s="346"/>
      <c r="E372" s="347"/>
      <c r="F372" s="397" t="s">
        <v>14</v>
      </c>
      <c r="G372" s="397"/>
      <c r="H372" s="338" t="s">
        <v>18</v>
      </c>
      <c r="I372" s="338"/>
      <c r="J372" s="338"/>
      <c r="K372" s="338" t="s">
        <v>19</v>
      </c>
      <c r="L372" s="338"/>
      <c r="M372" s="338"/>
      <c r="N372" s="346" t="s">
        <v>319</v>
      </c>
      <c r="O372" s="346"/>
      <c r="P372" s="347"/>
      <c r="Q372" s="338" t="s">
        <v>320</v>
      </c>
      <c r="R372" s="338"/>
    </row>
    <row r="373" spans="1:21" ht="42" hidden="1" customHeight="1">
      <c r="A373" s="393"/>
      <c r="B373" s="394"/>
      <c r="C373" s="350" t="s">
        <v>276</v>
      </c>
      <c r="D373" s="350" t="s">
        <v>276</v>
      </c>
      <c r="E373" s="350" t="s">
        <v>276</v>
      </c>
      <c r="F373" s="350" t="s">
        <v>276</v>
      </c>
      <c r="G373" s="350" t="s">
        <v>276</v>
      </c>
      <c r="H373" s="338" t="s">
        <v>311</v>
      </c>
      <c r="I373" s="338" t="s">
        <v>239</v>
      </c>
      <c r="J373" s="338"/>
      <c r="K373" s="344" t="s">
        <v>334</v>
      </c>
      <c r="L373" s="344" t="s">
        <v>335</v>
      </c>
      <c r="M373" s="344" t="s">
        <v>336</v>
      </c>
      <c r="N373" s="344" t="s">
        <v>334</v>
      </c>
      <c r="O373" s="344" t="s">
        <v>335</v>
      </c>
      <c r="P373" s="344" t="s">
        <v>336</v>
      </c>
      <c r="Q373" s="339" t="s">
        <v>223</v>
      </c>
      <c r="R373" s="340" t="s">
        <v>224</v>
      </c>
      <c r="U373" s="207" t="s">
        <v>62</v>
      </c>
    </row>
    <row r="374" spans="1:21" ht="24" hidden="1" customHeight="1">
      <c r="A374" s="395"/>
      <c r="B374" s="396"/>
      <c r="C374" s="350"/>
      <c r="D374" s="350"/>
      <c r="E374" s="350"/>
      <c r="F374" s="350"/>
      <c r="G374" s="350"/>
      <c r="H374" s="338"/>
      <c r="I374" s="282" t="s">
        <v>322</v>
      </c>
      <c r="J374" s="270" t="s">
        <v>279</v>
      </c>
      <c r="K374" s="345"/>
      <c r="L374" s="345"/>
      <c r="M374" s="345"/>
      <c r="N374" s="345"/>
      <c r="O374" s="345"/>
      <c r="P374" s="345"/>
      <c r="Q374" s="339"/>
      <c r="R374" s="341"/>
    </row>
    <row r="375" spans="1:21" s="294" customFormat="1" ht="7.5" hidden="1">
      <c r="A375" s="388">
        <v>1</v>
      </c>
      <c r="B375" s="389"/>
      <c r="C375" s="284">
        <v>2</v>
      </c>
      <c r="D375" s="284">
        <v>3</v>
      </c>
      <c r="E375" s="284">
        <v>4</v>
      </c>
      <c r="F375" s="284">
        <v>5</v>
      </c>
      <c r="G375" s="284">
        <v>6</v>
      </c>
      <c r="H375" s="284">
        <v>7</v>
      </c>
      <c r="I375" s="284">
        <v>8</v>
      </c>
      <c r="J375" s="284">
        <v>9</v>
      </c>
      <c r="K375" s="284">
        <v>10</v>
      </c>
      <c r="L375" s="284">
        <v>11</v>
      </c>
      <c r="M375" s="284">
        <v>12</v>
      </c>
      <c r="N375" s="284">
        <v>13</v>
      </c>
      <c r="O375" s="284">
        <v>14</v>
      </c>
      <c r="P375" s="284">
        <v>15</v>
      </c>
      <c r="Q375" s="284">
        <v>13</v>
      </c>
      <c r="R375" s="285">
        <v>14</v>
      </c>
    </row>
    <row r="376" spans="1:21" ht="27.75" hidden="1" customHeight="1">
      <c r="A376" s="390" t="str">
        <f>A358</f>
        <v>802112О.99.0.ББ11АА00001</v>
      </c>
      <c r="B376" s="356"/>
      <c r="C376" s="278"/>
      <c r="D376" s="278"/>
      <c r="E376" s="278"/>
      <c r="F376" s="278" t="s">
        <v>43</v>
      </c>
      <c r="G376" s="278"/>
      <c r="H376" s="279" t="s">
        <v>45</v>
      </c>
      <c r="I376" s="286" t="s">
        <v>46</v>
      </c>
      <c r="J376" s="278">
        <v>792</v>
      </c>
      <c r="K376" s="278">
        <f>'проверка 2020'!N4</f>
        <v>0</v>
      </c>
      <c r="L376" s="278">
        <f>'проверка 2021'!N4</f>
        <v>0</v>
      </c>
      <c r="M376" s="278">
        <f>'проверка 2022'!N4</f>
        <v>0</v>
      </c>
      <c r="N376" s="278"/>
      <c r="O376" s="278"/>
      <c r="P376" s="278"/>
      <c r="Q376" s="287">
        <v>0.05</v>
      </c>
      <c r="R376" s="274"/>
    </row>
    <row r="377" spans="1:21" ht="23.25" hidden="1">
      <c r="A377" s="390">
        <f>A361</f>
        <v>0</v>
      </c>
      <c r="B377" s="356"/>
      <c r="C377" s="278"/>
      <c r="D377" s="278"/>
      <c r="E377" s="278"/>
      <c r="F377" s="279" t="s">
        <v>44</v>
      </c>
      <c r="G377" s="278"/>
      <c r="H377" s="279" t="s">
        <v>45</v>
      </c>
      <c r="I377" s="286" t="s">
        <v>46</v>
      </c>
      <c r="J377" s="278">
        <v>792</v>
      </c>
      <c r="K377" s="278"/>
      <c r="L377" s="278"/>
      <c r="M377" s="278"/>
      <c r="N377" s="278"/>
      <c r="O377" s="286"/>
      <c r="P377" s="286"/>
      <c r="Q377" s="273"/>
      <c r="R377" s="274"/>
    </row>
    <row r="378" spans="1:21" hidden="1">
      <c r="A378" s="286"/>
      <c r="B378" s="286"/>
      <c r="C378" s="278"/>
      <c r="D378" s="278"/>
      <c r="E378" s="278"/>
      <c r="F378" s="278"/>
      <c r="G378" s="278"/>
      <c r="H378" s="286"/>
      <c r="I378" s="286"/>
      <c r="J378" s="278"/>
      <c r="K378" s="278"/>
      <c r="L378" s="278"/>
      <c r="M378" s="278"/>
      <c r="N378" s="278"/>
      <c r="O378" s="288"/>
      <c r="P378" s="289"/>
    </row>
    <row r="379" spans="1:21" hidden="1">
      <c r="A379" s="290"/>
      <c r="B379" s="290"/>
      <c r="C379" s="274"/>
      <c r="D379" s="274"/>
      <c r="E379" s="274"/>
      <c r="F379" s="274"/>
      <c r="G379" s="274"/>
      <c r="H379" s="290"/>
      <c r="I379" s="290"/>
      <c r="J379" s="274"/>
      <c r="K379" s="274"/>
      <c r="L379" s="274"/>
      <c r="M379" s="274"/>
      <c r="N379" s="274"/>
      <c r="O379" s="291"/>
      <c r="P379" s="292"/>
    </row>
    <row r="380" spans="1:21" hidden="1">
      <c r="A380" s="290"/>
      <c r="B380" s="290"/>
      <c r="C380" s="274"/>
      <c r="D380" s="274"/>
      <c r="E380" s="274"/>
      <c r="F380" s="274"/>
      <c r="G380" s="274"/>
      <c r="H380" s="290"/>
      <c r="I380" s="290"/>
      <c r="J380" s="274"/>
      <c r="K380" s="274"/>
      <c r="L380" s="274"/>
      <c r="M380" s="274"/>
      <c r="N380" s="274"/>
      <c r="O380" s="291"/>
      <c r="P380" s="292"/>
    </row>
    <row r="381" spans="1:21" hidden="1">
      <c r="A381" s="290"/>
      <c r="B381" s="290"/>
      <c r="C381" s="274"/>
      <c r="D381" s="274"/>
      <c r="E381" s="274"/>
      <c r="F381" s="274"/>
      <c r="G381" s="274"/>
      <c r="H381" s="290"/>
      <c r="I381" s="290"/>
      <c r="J381" s="274"/>
      <c r="K381" s="274"/>
      <c r="L381" s="274"/>
      <c r="M381" s="274"/>
      <c r="N381" s="274"/>
      <c r="O381" s="291"/>
      <c r="P381" s="292"/>
    </row>
    <row r="382" spans="1:21" hidden="1">
      <c r="A382" s="290"/>
      <c r="B382" s="290"/>
      <c r="C382" s="274"/>
      <c r="D382" s="274"/>
      <c r="E382" s="274"/>
      <c r="F382" s="274"/>
      <c r="G382" s="274"/>
      <c r="H382" s="290"/>
      <c r="I382" s="290"/>
      <c r="J382" s="274"/>
      <c r="K382" s="274"/>
      <c r="L382" s="274"/>
      <c r="M382" s="274"/>
      <c r="N382" s="274"/>
      <c r="O382" s="291"/>
      <c r="P382" s="292"/>
    </row>
    <row r="383" spans="1:21" hidden="1">
      <c r="A383" s="290"/>
      <c r="B383" s="290"/>
      <c r="C383" s="274"/>
      <c r="D383" s="274"/>
      <c r="E383" s="274"/>
      <c r="F383" s="274"/>
      <c r="G383" s="274"/>
      <c r="H383" s="290"/>
      <c r="I383" s="290"/>
      <c r="J383" s="274"/>
      <c r="K383" s="274"/>
      <c r="L383" s="274"/>
      <c r="M383" s="274"/>
      <c r="N383" s="274"/>
      <c r="O383" s="291"/>
      <c r="P383" s="292"/>
    </row>
    <row r="384" spans="1:21" ht="6" hidden="1" customHeight="1"/>
    <row r="385" spans="1:16" ht="6" hidden="1" customHeight="1">
      <c r="D385" s="302"/>
    </row>
    <row r="386" spans="1:16" hidden="1">
      <c r="A386" s="207" t="s">
        <v>327</v>
      </c>
    </row>
    <row r="387" spans="1:16" ht="8.25" hidden="1" customHeight="1"/>
    <row r="388" spans="1:16" hidden="1">
      <c r="A388" s="326" t="s">
        <v>25</v>
      </c>
      <c r="B388" s="326"/>
      <c r="C388" s="326"/>
      <c r="D388" s="326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</row>
    <row r="389" spans="1:16" hidden="1">
      <c r="A389" s="293" t="s">
        <v>21</v>
      </c>
      <c r="B389" s="326" t="s">
        <v>22</v>
      </c>
      <c r="C389" s="326"/>
      <c r="D389" s="326"/>
      <c r="E389" s="293" t="s">
        <v>23</v>
      </c>
      <c r="F389" s="293" t="s">
        <v>24</v>
      </c>
      <c r="G389" s="326" t="s">
        <v>17</v>
      </c>
      <c r="H389" s="326"/>
      <c r="I389" s="326"/>
      <c r="J389" s="326"/>
      <c r="K389" s="326"/>
      <c r="L389" s="326"/>
      <c r="M389" s="326"/>
      <c r="N389" s="326"/>
      <c r="O389" s="326"/>
      <c r="P389" s="326"/>
    </row>
    <row r="390" spans="1:16" s="294" customFormat="1" ht="7.5" hidden="1">
      <c r="A390" s="285">
        <v>1</v>
      </c>
      <c r="B390" s="376">
        <v>2</v>
      </c>
      <c r="C390" s="376"/>
      <c r="D390" s="376"/>
      <c r="E390" s="285">
        <v>3</v>
      </c>
      <c r="F390" s="285">
        <v>4</v>
      </c>
      <c r="G390" s="376">
        <v>5</v>
      </c>
      <c r="H390" s="376"/>
      <c r="I390" s="376"/>
      <c r="J390" s="376"/>
      <c r="K390" s="376"/>
      <c r="L390" s="376"/>
      <c r="M390" s="376"/>
      <c r="N390" s="376"/>
      <c r="O390" s="376"/>
      <c r="P390" s="376"/>
    </row>
    <row r="391" spans="1:16" s="300" customFormat="1" ht="33.75" hidden="1" customHeight="1">
      <c r="A391" s="299" t="s">
        <v>168</v>
      </c>
      <c r="B391" s="437" t="s">
        <v>169</v>
      </c>
      <c r="C391" s="438"/>
      <c r="D391" s="439"/>
      <c r="E391" s="303">
        <v>43306</v>
      </c>
      <c r="F391" s="299">
        <v>129</v>
      </c>
      <c r="G391" s="440" t="s">
        <v>298</v>
      </c>
      <c r="H391" s="441"/>
      <c r="I391" s="441"/>
      <c r="J391" s="441"/>
      <c r="K391" s="441"/>
      <c r="L391" s="441"/>
      <c r="M391" s="441"/>
      <c r="N391" s="441"/>
      <c r="O391" s="441"/>
      <c r="P391" s="442"/>
    </row>
    <row r="392" spans="1:16" s="300" customFormat="1" ht="21.75" hidden="1" customHeight="1">
      <c r="A392" s="297" t="s">
        <v>241</v>
      </c>
      <c r="B392" s="380" t="s">
        <v>242</v>
      </c>
      <c r="C392" s="380"/>
      <c r="D392" s="380"/>
      <c r="E392" s="298">
        <v>44190</v>
      </c>
      <c r="F392" s="299" t="s">
        <v>338</v>
      </c>
      <c r="G392" s="381" t="s">
        <v>337</v>
      </c>
      <c r="H392" s="381"/>
      <c r="I392" s="381"/>
      <c r="J392" s="381"/>
      <c r="K392" s="381"/>
      <c r="L392" s="381"/>
      <c r="M392" s="381"/>
      <c r="N392" s="381"/>
      <c r="O392" s="381"/>
      <c r="P392" s="381"/>
    </row>
    <row r="393" spans="1:16" s="300" customFormat="1" ht="37.5" hidden="1" customHeight="1">
      <c r="A393" s="297" t="s">
        <v>241</v>
      </c>
      <c r="B393" s="380" t="s">
        <v>242</v>
      </c>
      <c r="C393" s="380"/>
      <c r="D393" s="380"/>
      <c r="E393" s="298">
        <v>43600</v>
      </c>
      <c r="F393" s="297" t="s">
        <v>300</v>
      </c>
      <c r="G393" s="440" t="s">
        <v>299</v>
      </c>
      <c r="H393" s="443"/>
      <c r="I393" s="443"/>
      <c r="J393" s="443"/>
      <c r="K393" s="443"/>
      <c r="L393" s="443"/>
      <c r="M393" s="443"/>
      <c r="N393" s="443"/>
      <c r="O393" s="443"/>
      <c r="P393" s="444"/>
    </row>
    <row r="394" spans="1:16" s="296" customFormat="1" ht="11.25" hidden="1">
      <c r="A394" s="278"/>
      <c r="B394" s="372"/>
      <c r="C394" s="372"/>
      <c r="D394" s="372"/>
      <c r="E394" s="278"/>
      <c r="F394" s="278"/>
      <c r="G394" s="373"/>
      <c r="H394" s="373"/>
      <c r="I394" s="373"/>
      <c r="J394" s="373"/>
      <c r="K394" s="373"/>
      <c r="L394" s="373"/>
      <c r="M394" s="373"/>
      <c r="N394" s="373"/>
      <c r="O394" s="373"/>
      <c r="P394" s="373"/>
    </row>
    <row r="395" spans="1:16" ht="5.25" hidden="1" customHeight="1"/>
    <row r="396" spans="1:16" hidden="1">
      <c r="A396" s="207" t="s">
        <v>26</v>
      </c>
    </row>
    <row r="397" spans="1:16" ht="3" hidden="1" customHeight="1"/>
    <row r="398" spans="1:16" hidden="1">
      <c r="A398" s="207" t="s">
        <v>27</v>
      </c>
    </row>
    <row r="399" spans="1:16" ht="98.25" hidden="1" customHeight="1">
      <c r="A399" s="374" t="s">
        <v>233</v>
      </c>
      <c r="B399" s="374"/>
      <c r="C399" s="374"/>
      <c r="D399" s="374"/>
      <c r="E399" s="374"/>
      <c r="F399" s="374"/>
      <c r="G399" s="374"/>
      <c r="H399" s="374"/>
      <c r="I399" s="374"/>
      <c r="J399" s="374"/>
      <c r="K399" s="374"/>
      <c r="L399" s="374"/>
      <c r="M399" s="374"/>
      <c r="N399" s="374"/>
      <c r="O399" s="374"/>
      <c r="P399" s="374"/>
    </row>
    <row r="400" spans="1:16" hidden="1">
      <c r="A400" s="375" t="s">
        <v>28</v>
      </c>
      <c r="B400" s="375"/>
      <c r="C400" s="375"/>
      <c r="D400" s="375"/>
      <c r="E400" s="375"/>
      <c r="F400" s="375"/>
      <c r="G400" s="375"/>
      <c r="H400" s="375"/>
      <c r="I400" s="375"/>
      <c r="J400" s="375"/>
      <c r="K400" s="375"/>
      <c r="L400" s="375"/>
    </row>
    <row r="401" spans="1:16" ht="3.75" hidden="1" customHeight="1"/>
    <row r="402" spans="1:16" hidden="1">
      <c r="A402" s="207" t="s">
        <v>29</v>
      </c>
    </row>
    <row r="403" spans="1:16" hidden="1"/>
    <row r="404" spans="1:16" ht="10.5" hidden="1" customHeight="1">
      <c r="A404" s="326" t="s">
        <v>30</v>
      </c>
      <c r="B404" s="326"/>
      <c r="C404" s="326"/>
      <c r="D404" s="326" t="s">
        <v>31</v>
      </c>
      <c r="E404" s="326"/>
      <c r="F404" s="326"/>
      <c r="G404" s="326"/>
      <c r="H404" s="326" t="s">
        <v>32</v>
      </c>
      <c r="I404" s="326"/>
      <c r="J404" s="326"/>
      <c r="K404" s="326"/>
    </row>
    <row r="405" spans="1:16" s="294" customFormat="1" ht="7.5" hidden="1">
      <c r="A405" s="376">
        <v>1</v>
      </c>
      <c r="B405" s="376"/>
      <c r="C405" s="376"/>
      <c r="D405" s="376">
        <v>2</v>
      </c>
      <c r="E405" s="376"/>
      <c r="F405" s="376"/>
      <c r="G405" s="376"/>
      <c r="H405" s="376">
        <v>3</v>
      </c>
      <c r="I405" s="376"/>
      <c r="J405" s="376"/>
      <c r="K405" s="376"/>
    </row>
    <row r="406" spans="1:16" ht="357.6" hidden="1" customHeight="1">
      <c r="A406" s="363" t="s">
        <v>175</v>
      </c>
      <c r="B406" s="364"/>
      <c r="C406" s="365"/>
      <c r="D406" s="366" t="s">
        <v>228</v>
      </c>
      <c r="E406" s="367"/>
      <c r="F406" s="367"/>
      <c r="G406" s="368"/>
      <c r="H406" s="369" t="s">
        <v>229</v>
      </c>
      <c r="I406" s="370"/>
      <c r="J406" s="370"/>
      <c r="K406" s="371"/>
    </row>
    <row r="407" spans="1:16" hidden="1"/>
    <row r="408" spans="1:16" hidden="1"/>
    <row r="409" spans="1:16">
      <c r="A409" s="322" t="s">
        <v>331</v>
      </c>
      <c r="B409" s="322"/>
      <c r="C409" s="322"/>
      <c r="D409" s="322"/>
      <c r="E409" s="322"/>
      <c r="F409" s="322"/>
      <c r="G409" s="322"/>
      <c r="H409" s="322"/>
      <c r="I409" s="322"/>
      <c r="J409" s="322"/>
      <c r="K409" s="322"/>
      <c r="L409" s="322"/>
      <c r="M409" s="322"/>
      <c r="N409" s="322"/>
      <c r="O409" s="322"/>
      <c r="P409" s="322"/>
    </row>
    <row r="410" spans="1:16" ht="9.75" customHeight="1">
      <c r="A410" s="266"/>
      <c r="B410" s="266"/>
      <c r="C410" s="266"/>
      <c r="D410" s="266"/>
      <c r="E410" s="266"/>
      <c r="F410" s="266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</row>
    <row r="411" spans="1:16">
      <c r="A411" s="362" t="s">
        <v>323</v>
      </c>
      <c r="B411" s="362"/>
      <c r="C411" s="362"/>
      <c r="D411" s="362"/>
      <c r="E411" s="362"/>
      <c r="F411" s="362"/>
      <c r="G411" s="362"/>
      <c r="H411" s="362"/>
      <c r="I411" s="362"/>
      <c r="J411" s="362"/>
      <c r="K411" s="362"/>
      <c r="L411" s="362"/>
      <c r="M411" s="362"/>
      <c r="N411" s="362"/>
      <c r="O411" s="304"/>
      <c r="P411" s="266"/>
    </row>
    <row r="412" spans="1:16" ht="96" customHeight="1">
      <c r="A412" s="323" t="s">
        <v>234</v>
      </c>
      <c r="B412" s="323"/>
      <c r="C412" s="323"/>
      <c r="D412" s="323"/>
      <c r="E412" s="323"/>
      <c r="F412" s="323"/>
      <c r="G412" s="323"/>
      <c r="H412" s="323"/>
      <c r="I412" s="323"/>
      <c r="J412" s="323"/>
      <c r="K412" s="323"/>
      <c r="L412" s="323"/>
      <c r="M412" s="323"/>
      <c r="N412" s="323"/>
      <c r="O412" s="323"/>
      <c r="P412" s="266"/>
    </row>
    <row r="413" spans="1:16" ht="6" customHeight="1">
      <c r="A413" s="266"/>
      <c r="B413" s="266"/>
      <c r="C413" s="266"/>
      <c r="D413" s="266"/>
      <c r="E413" s="266"/>
      <c r="F413" s="266"/>
      <c r="G413" s="266"/>
      <c r="H413" s="266"/>
      <c r="I413" s="266"/>
      <c r="J413" s="266"/>
      <c r="K413" s="266"/>
      <c r="L413" s="266"/>
      <c r="M413" s="266"/>
      <c r="N413" s="266"/>
      <c r="O413" s="266"/>
      <c r="P413" s="266"/>
    </row>
    <row r="414" spans="1:16">
      <c r="A414" s="305" t="s">
        <v>33</v>
      </c>
      <c r="B414" s="266"/>
      <c r="C414" s="266"/>
      <c r="D414" s="266"/>
      <c r="E414" s="266"/>
      <c r="F414" s="266"/>
      <c r="G414" s="266"/>
      <c r="H414" s="266"/>
      <c r="I414" s="266"/>
      <c r="J414" s="324"/>
      <c r="K414" s="324"/>
      <c r="L414" s="324"/>
      <c r="M414" s="324"/>
      <c r="N414" s="324"/>
      <c r="O414" s="324"/>
      <c r="P414" s="266"/>
    </row>
    <row r="415" spans="1:16" ht="45" customHeight="1">
      <c r="A415" s="323" t="s">
        <v>230</v>
      </c>
      <c r="B415" s="325"/>
      <c r="C415" s="325"/>
      <c r="D415" s="325"/>
      <c r="E415" s="325"/>
      <c r="F415" s="325"/>
      <c r="G415" s="325"/>
      <c r="H415" s="325"/>
      <c r="I415" s="325"/>
      <c r="J415" s="325"/>
      <c r="K415" s="325"/>
      <c r="L415" s="325"/>
      <c r="M415" s="325"/>
      <c r="N415" s="325"/>
      <c r="O415" s="325"/>
      <c r="P415" s="266"/>
    </row>
    <row r="416" spans="1:16" ht="6" customHeight="1">
      <c r="A416" s="266"/>
      <c r="B416" s="266"/>
      <c r="C416" s="266"/>
      <c r="D416" s="266"/>
      <c r="E416" s="266"/>
      <c r="F416" s="266"/>
      <c r="G416" s="266"/>
      <c r="H416" s="266"/>
      <c r="I416" s="266"/>
      <c r="J416" s="266"/>
      <c r="K416" s="266"/>
      <c r="L416" s="266"/>
      <c r="M416" s="266"/>
      <c r="N416" s="266"/>
      <c r="O416" s="266"/>
      <c r="P416" s="266"/>
    </row>
    <row r="417" spans="1:16">
      <c r="A417" s="207" t="s">
        <v>176</v>
      </c>
    </row>
    <row r="418" spans="1:16" ht="5.25" customHeight="1"/>
    <row r="419" spans="1:16" ht="30" customHeight="1">
      <c r="A419" s="326" t="s">
        <v>34</v>
      </c>
      <c r="B419" s="326"/>
      <c r="C419" s="326"/>
      <c r="D419" s="326" t="s">
        <v>35</v>
      </c>
      <c r="E419" s="326"/>
      <c r="F419" s="326"/>
      <c r="G419" s="326"/>
      <c r="H419" s="327" t="s">
        <v>225</v>
      </c>
      <c r="I419" s="327"/>
      <c r="J419" s="327"/>
      <c r="K419" s="327"/>
      <c r="L419" s="327"/>
      <c r="M419" s="327"/>
    </row>
    <row r="420" spans="1:16">
      <c r="A420" s="332">
        <v>1</v>
      </c>
      <c r="B420" s="332"/>
      <c r="C420" s="332"/>
      <c r="D420" s="332">
        <v>2</v>
      </c>
      <c r="E420" s="332"/>
      <c r="F420" s="332"/>
      <c r="G420" s="332"/>
      <c r="H420" s="332">
        <v>3</v>
      </c>
      <c r="I420" s="332"/>
      <c r="J420" s="332"/>
      <c r="K420" s="332"/>
      <c r="L420" s="332"/>
      <c r="M420" s="332"/>
    </row>
    <row r="421" spans="1:16" s="306" customFormat="1" ht="30" customHeight="1">
      <c r="A421" s="333" t="s">
        <v>232</v>
      </c>
      <c r="B421" s="334"/>
      <c r="C421" s="335"/>
      <c r="D421" s="336" t="s">
        <v>231</v>
      </c>
      <c r="E421" s="323"/>
      <c r="F421" s="323"/>
      <c r="G421" s="337"/>
      <c r="H421" s="361" t="s">
        <v>169</v>
      </c>
      <c r="I421" s="361"/>
      <c r="J421" s="361"/>
      <c r="K421" s="361"/>
      <c r="L421" s="361"/>
      <c r="M421" s="361"/>
    </row>
    <row r="422" spans="1:16" hidden="1">
      <c r="A422" s="328"/>
      <c r="B422" s="329"/>
      <c r="C422" s="330"/>
      <c r="D422" s="328"/>
      <c r="E422" s="329"/>
      <c r="F422" s="329"/>
      <c r="G422" s="330"/>
      <c r="H422" s="326"/>
      <c r="I422" s="326"/>
      <c r="J422" s="326"/>
      <c r="K422" s="326"/>
      <c r="L422" s="326"/>
      <c r="M422" s="326"/>
    </row>
    <row r="423" spans="1:16" ht="6.75" customHeight="1"/>
    <row r="424" spans="1:16" hidden="1"/>
    <row r="425" spans="1:16" ht="51" customHeight="1">
      <c r="A425" s="245" t="s">
        <v>36</v>
      </c>
      <c r="B425" s="245"/>
      <c r="C425" s="245"/>
      <c r="D425" s="245"/>
      <c r="E425" s="245"/>
      <c r="F425" s="245"/>
      <c r="G425" s="307"/>
      <c r="H425" s="321" t="s">
        <v>226</v>
      </c>
      <c r="I425" s="321"/>
      <c r="J425" s="321"/>
      <c r="K425" s="321"/>
      <c r="L425" s="321"/>
      <c r="M425" s="321"/>
      <c r="N425" s="321"/>
      <c r="O425" s="321"/>
    </row>
    <row r="426" spans="1:16">
      <c r="A426" s="245" t="s">
        <v>37</v>
      </c>
      <c r="B426" s="245"/>
      <c r="C426" s="245"/>
      <c r="D426" s="245"/>
      <c r="E426" s="245"/>
      <c r="F426" s="245"/>
      <c r="G426" s="245"/>
      <c r="H426" s="307"/>
      <c r="I426" s="307" t="s">
        <v>210</v>
      </c>
      <c r="J426" s="307"/>
      <c r="K426" s="307"/>
      <c r="L426" s="307"/>
      <c r="M426" s="307"/>
      <c r="N426" s="307"/>
      <c r="O426" s="307"/>
    </row>
    <row r="427" spans="1:16" ht="13.5" customHeight="1">
      <c r="A427" s="267" t="s">
        <v>38</v>
      </c>
      <c r="B427" s="267"/>
      <c r="C427" s="267"/>
      <c r="D427" s="267"/>
      <c r="E427" s="267"/>
      <c r="F427" s="267"/>
      <c r="G427" s="308"/>
      <c r="H427" s="331" t="s">
        <v>227</v>
      </c>
      <c r="I427" s="331"/>
      <c r="J427" s="331"/>
      <c r="K427" s="331"/>
      <c r="L427" s="331"/>
      <c r="M427" s="331"/>
      <c r="N427" s="331"/>
      <c r="O427" s="331"/>
      <c r="P427" s="331"/>
    </row>
    <row r="428" spans="1:16" s="245" customFormat="1" ht="17.25" customHeight="1">
      <c r="A428" s="245" t="s">
        <v>235</v>
      </c>
      <c r="G428" s="246"/>
      <c r="H428" s="247"/>
      <c r="I428" s="247"/>
      <c r="J428" s="247"/>
      <c r="K428" s="247"/>
      <c r="L428" s="247"/>
      <c r="M428" s="247"/>
      <c r="N428" s="247"/>
      <c r="O428" s="247"/>
    </row>
    <row r="429" spans="1:16">
      <c r="A429" s="245" t="s">
        <v>39</v>
      </c>
      <c r="B429" s="245"/>
      <c r="C429" s="245"/>
      <c r="D429" s="245"/>
      <c r="E429" s="245"/>
      <c r="F429" s="245"/>
      <c r="G429" s="309"/>
      <c r="H429" s="309"/>
      <c r="I429" s="309"/>
      <c r="J429" s="309"/>
      <c r="K429" s="309"/>
      <c r="L429" s="309"/>
      <c r="M429" s="309"/>
      <c r="N429" s="309"/>
      <c r="O429" s="309"/>
    </row>
    <row r="430" spans="1:16" hidden="1">
      <c r="A430" s="307"/>
      <c r="B430" s="307"/>
      <c r="C430" s="307"/>
      <c r="D430" s="307"/>
      <c r="E430" s="307"/>
      <c r="F430" s="307"/>
      <c r="G430" s="307"/>
      <c r="H430" s="307"/>
      <c r="I430" s="307"/>
      <c r="J430" s="307"/>
      <c r="K430" s="307"/>
      <c r="L430" s="307"/>
      <c r="M430" s="307"/>
      <c r="N430" s="307"/>
      <c r="O430" s="307"/>
    </row>
    <row r="431" spans="1:16" hidden="1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</row>
    <row r="432" spans="1:16">
      <c r="A432" s="245" t="s">
        <v>324</v>
      </c>
      <c r="B432" s="245"/>
      <c r="C432" s="245"/>
      <c r="D432" s="245"/>
      <c r="E432" s="245"/>
      <c r="F432" s="245"/>
      <c r="G432" s="307"/>
      <c r="H432" s="307"/>
      <c r="I432" s="307"/>
      <c r="J432" s="307"/>
      <c r="K432" s="307"/>
      <c r="L432" s="307"/>
      <c r="M432" s="307"/>
      <c r="N432" s="307"/>
      <c r="O432" s="307"/>
    </row>
    <row r="433" spans="1:18" hidden="1">
      <c r="A433" s="324"/>
      <c r="B433" s="324"/>
      <c r="C433" s="324"/>
      <c r="D433" s="324"/>
      <c r="E433" s="324"/>
      <c r="F433" s="324"/>
      <c r="G433" s="324"/>
      <c r="H433" s="324"/>
      <c r="I433" s="324"/>
      <c r="J433" s="324"/>
      <c r="K433" s="324"/>
      <c r="L433" s="324"/>
      <c r="M433" s="324"/>
      <c r="N433" s="324"/>
      <c r="O433" s="324"/>
    </row>
    <row r="434" spans="1:18" ht="13.5" hidden="1" customHeight="1"/>
    <row r="435" spans="1:18" hidden="1"/>
    <row r="436" spans="1:18" hidden="1"/>
    <row r="437" spans="1:18" s="310" customFormat="1" ht="11.25" customHeight="1">
      <c r="A437" s="319" t="s">
        <v>249</v>
      </c>
      <c r="B437" s="319"/>
      <c r="C437" s="319"/>
      <c r="D437" s="319"/>
      <c r="E437" s="319"/>
      <c r="F437" s="319"/>
      <c r="G437" s="319"/>
      <c r="H437" s="319"/>
      <c r="I437" s="319"/>
      <c r="J437" s="319"/>
      <c r="K437" s="319"/>
      <c r="L437" s="319"/>
      <c r="M437" s="319"/>
      <c r="N437" s="319"/>
      <c r="O437" s="319"/>
      <c r="P437" s="319"/>
      <c r="Q437" s="319"/>
      <c r="R437" s="319"/>
    </row>
    <row r="438" spans="1:18" s="310" customFormat="1" ht="24.75" customHeight="1">
      <c r="A438" s="320" t="s">
        <v>250</v>
      </c>
      <c r="B438" s="320"/>
      <c r="C438" s="320"/>
      <c r="D438" s="320"/>
      <c r="E438" s="320"/>
      <c r="F438" s="320"/>
      <c r="G438" s="320"/>
      <c r="H438" s="320"/>
      <c r="I438" s="320"/>
      <c r="J438" s="320"/>
      <c r="K438" s="320"/>
      <c r="L438" s="320"/>
      <c r="M438" s="320"/>
      <c r="N438" s="320"/>
      <c r="O438" s="320"/>
      <c r="P438" s="320"/>
      <c r="Q438" s="320"/>
      <c r="R438" s="320"/>
    </row>
    <row r="439" spans="1:18" s="310" customFormat="1" ht="35.25" customHeight="1">
      <c r="A439" s="320" t="s">
        <v>330</v>
      </c>
      <c r="B439" s="320"/>
      <c r="C439" s="320"/>
      <c r="D439" s="320"/>
      <c r="E439" s="320"/>
      <c r="F439" s="320"/>
      <c r="G439" s="320"/>
      <c r="H439" s="320"/>
      <c r="I439" s="320"/>
      <c r="J439" s="320"/>
      <c r="K439" s="320"/>
      <c r="L439" s="320"/>
      <c r="M439" s="320"/>
      <c r="N439" s="320"/>
      <c r="O439" s="320"/>
      <c r="P439" s="320"/>
      <c r="Q439" s="320"/>
      <c r="R439" s="320"/>
    </row>
    <row r="440" spans="1:18" s="310" customFormat="1" ht="12">
      <c r="A440" s="310" t="s">
        <v>251</v>
      </c>
    </row>
    <row r="441" spans="1:18" s="310" customFormat="1" ht="12">
      <c r="A441" s="310" t="s">
        <v>252</v>
      </c>
    </row>
    <row r="442" spans="1:18" s="310" customFormat="1" ht="29.25" customHeight="1">
      <c r="A442" s="320" t="s">
        <v>253</v>
      </c>
      <c r="B442" s="320"/>
      <c r="C442" s="320"/>
      <c r="D442" s="320"/>
      <c r="E442" s="320"/>
      <c r="F442" s="320"/>
      <c r="G442" s="320"/>
      <c r="H442" s="320"/>
      <c r="I442" s="320"/>
      <c r="J442" s="320"/>
      <c r="K442" s="320"/>
      <c r="L442" s="320"/>
      <c r="M442" s="320"/>
      <c r="N442" s="320"/>
      <c r="O442" s="320"/>
      <c r="P442" s="320"/>
      <c r="Q442" s="320"/>
      <c r="R442" s="320"/>
    </row>
    <row r="443" spans="1:18" s="310" customFormat="1" ht="29.25" customHeight="1">
      <c r="A443" s="320" t="s">
        <v>254</v>
      </c>
      <c r="B443" s="320"/>
      <c r="C443" s="320"/>
      <c r="D443" s="320"/>
      <c r="E443" s="320"/>
      <c r="F443" s="320"/>
      <c r="G443" s="320"/>
      <c r="H443" s="320"/>
      <c r="I443" s="320"/>
      <c r="J443" s="320"/>
      <c r="K443" s="320"/>
      <c r="L443" s="320"/>
      <c r="M443" s="320"/>
      <c r="N443" s="320"/>
      <c r="O443" s="320"/>
      <c r="P443" s="320"/>
      <c r="Q443" s="320"/>
      <c r="R443" s="320"/>
    </row>
    <row r="444" spans="1:18" s="310" customFormat="1" ht="12">
      <c r="A444" s="310" t="s">
        <v>255</v>
      </c>
    </row>
    <row r="445" spans="1:18" s="310" customFormat="1" ht="90.75" customHeight="1">
      <c r="A445" s="320" t="s">
        <v>325</v>
      </c>
      <c r="B445" s="320"/>
      <c r="C445" s="320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</row>
  </sheetData>
  <mergeCells count="726">
    <mergeCell ref="M291:M292"/>
    <mergeCell ref="N291:N292"/>
    <mergeCell ref="O291:O292"/>
    <mergeCell ref="P291:P292"/>
    <mergeCell ref="Q291:Q292"/>
    <mergeCell ref="J292:K292"/>
    <mergeCell ref="O355:O356"/>
    <mergeCell ref="P355:P356"/>
    <mergeCell ref="Q355:Q356"/>
    <mergeCell ref="J356:K356"/>
    <mergeCell ref="A336:L336"/>
    <mergeCell ref="A340:C340"/>
    <mergeCell ref="A341:C341"/>
    <mergeCell ref="D341:G341"/>
    <mergeCell ref="H341:K341"/>
    <mergeCell ref="A342:C342"/>
    <mergeCell ref="D342:G342"/>
    <mergeCell ref="H342:K342"/>
    <mergeCell ref="B327:D327"/>
    <mergeCell ref="G327:P327"/>
    <mergeCell ref="B328:D328"/>
    <mergeCell ref="G328:P328"/>
    <mergeCell ref="B329:D329"/>
    <mergeCell ref="G329:P329"/>
    <mergeCell ref="A245:B247"/>
    <mergeCell ref="C245:C247"/>
    <mergeCell ref="D245:D247"/>
    <mergeCell ref="E245:E247"/>
    <mergeCell ref="F245:F247"/>
    <mergeCell ref="G245:G247"/>
    <mergeCell ref="H245:I245"/>
    <mergeCell ref="J245:K247"/>
    <mergeCell ref="L245:L247"/>
    <mergeCell ref="H246:I246"/>
    <mergeCell ref="H247:I247"/>
    <mergeCell ref="M242:M243"/>
    <mergeCell ref="N242:N243"/>
    <mergeCell ref="O242:O243"/>
    <mergeCell ref="P242:P243"/>
    <mergeCell ref="Q242:Q243"/>
    <mergeCell ref="J243:K243"/>
    <mergeCell ref="A244:B244"/>
    <mergeCell ref="H244:I244"/>
    <mergeCell ref="J244:K244"/>
    <mergeCell ref="E242:E243"/>
    <mergeCell ref="F242:F243"/>
    <mergeCell ref="G242:G243"/>
    <mergeCell ref="H242:I243"/>
    <mergeCell ref="J242:L242"/>
    <mergeCell ref="L107:L109"/>
    <mergeCell ref="H108:I108"/>
    <mergeCell ref="H109:I109"/>
    <mergeCell ref="A173:B175"/>
    <mergeCell ref="C173:E173"/>
    <mergeCell ref="F173:G173"/>
    <mergeCell ref="H173:L173"/>
    <mergeCell ref="M173:O173"/>
    <mergeCell ref="P173:Q173"/>
    <mergeCell ref="C174:C175"/>
    <mergeCell ref="D174:D175"/>
    <mergeCell ref="E174:E175"/>
    <mergeCell ref="F174:F175"/>
    <mergeCell ref="G174:G175"/>
    <mergeCell ref="H174:I175"/>
    <mergeCell ref="J174:L174"/>
    <mergeCell ref="M174:M175"/>
    <mergeCell ref="N174:N175"/>
    <mergeCell ref="O174:O175"/>
    <mergeCell ref="P174:P175"/>
    <mergeCell ref="Q174:Q175"/>
    <mergeCell ref="J175:K175"/>
    <mergeCell ref="A113:B113"/>
    <mergeCell ref="H113:I113"/>
    <mergeCell ref="A106:B106"/>
    <mergeCell ref="H106:I106"/>
    <mergeCell ref="J106:K106"/>
    <mergeCell ref="A107:B109"/>
    <mergeCell ref="C107:C109"/>
    <mergeCell ref="D107:D109"/>
    <mergeCell ref="E107:E109"/>
    <mergeCell ref="F107:F109"/>
    <mergeCell ref="G107:G109"/>
    <mergeCell ref="H107:I107"/>
    <mergeCell ref="J107:K109"/>
    <mergeCell ref="H103:L103"/>
    <mergeCell ref="M103:O103"/>
    <mergeCell ref="P103:Q103"/>
    <mergeCell ref="C104:C105"/>
    <mergeCell ref="D104:D105"/>
    <mergeCell ref="E104:E105"/>
    <mergeCell ref="F104:F105"/>
    <mergeCell ref="G104:G105"/>
    <mergeCell ref="H104:I105"/>
    <mergeCell ref="J104:L104"/>
    <mergeCell ref="M104:M105"/>
    <mergeCell ref="N104:N105"/>
    <mergeCell ref="O104:O105"/>
    <mergeCell ref="P104:P105"/>
    <mergeCell ref="Q104:Q105"/>
    <mergeCell ref="J105:K105"/>
    <mergeCell ref="L37:L39"/>
    <mergeCell ref="H38:I38"/>
    <mergeCell ref="H39:I39"/>
    <mergeCell ref="C34:C35"/>
    <mergeCell ref="D34:D35"/>
    <mergeCell ref="E34:E35"/>
    <mergeCell ref="F34:F35"/>
    <mergeCell ref="G34:G35"/>
    <mergeCell ref="H34:I35"/>
    <mergeCell ref="A36:B36"/>
    <mergeCell ref="H36:I36"/>
    <mergeCell ref="J36:K36"/>
    <mergeCell ref="A37:B39"/>
    <mergeCell ref="C37:C39"/>
    <mergeCell ref="D37:D39"/>
    <mergeCell ref="E37:E39"/>
    <mergeCell ref="F37:F39"/>
    <mergeCell ref="G37:G39"/>
    <mergeCell ref="H37:I37"/>
    <mergeCell ref="J37:K39"/>
    <mergeCell ref="H405:K405"/>
    <mergeCell ref="A375:B375"/>
    <mergeCell ref="A376:B376"/>
    <mergeCell ref="A377:B377"/>
    <mergeCell ref="A388:P388"/>
    <mergeCell ref="B389:D389"/>
    <mergeCell ref="G389:P389"/>
    <mergeCell ref="B390:D390"/>
    <mergeCell ref="G390:P390"/>
    <mergeCell ref="M373:M374"/>
    <mergeCell ref="N373:N374"/>
    <mergeCell ref="O373:O374"/>
    <mergeCell ref="P373:P374"/>
    <mergeCell ref="Q373:Q374"/>
    <mergeCell ref="R373:R374"/>
    <mergeCell ref="A406:C406"/>
    <mergeCell ref="D406:G406"/>
    <mergeCell ref="H406:K406"/>
    <mergeCell ref="B391:D391"/>
    <mergeCell ref="G391:P391"/>
    <mergeCell ref="B392:D392"/>
    <mergeCell ref="G392:P392"/>
    <mergeCell ref="B393:D393"/>
    <mergeCell ref="G393:P393"/>
    <mergeCell ref="B394:D394"/>
    <mergeCell ref="G394:P394"/>
    <mergeCell ref="A399:P399"/>
    <mergeCell ref="A400:L400"/>
    <mergeCell ref="A404:C404"/>
    <mergeCell ref="D404:G404"/>
    <mergeCell ref="H404:K404"/>
    <mergeCell ref="A405:C405"/>
    <mergeCell ref="D405:G405"/>
    <mergeCell ref="A366:B366"/>
    <mergeCell ref="H366:I366"/>
    <mergeCell ref="J366:K366"/>
    <mergeCell ref="O366:P366"/>
    <mergeCell ref="A367:B367"/>
    <mergeCell ref="H367:I367"/>
    <mergeCell ref="J367:K367"/>
    <mergeCell ref="O367:P367"/>
    <mergeCell ref="Q372:R372"/>
    <mergeCell ref="A372:B374"/>
    <mergeCell ref="C372:E372"/>
    <mergeCell ref="F372:G372"/>
    <mergeCell ref="H372:J372"/>
    <mergeCell ref="K372:M372"/>
    <mergeCell ref="N372:P372"/>
    <mergeCell ref="C373:C374"/>
    <mergeCell ref="D373:D374"/>
    <mergeCell ref="E373:E374"/>
    <mergeCell ref="F373:F374"/>
    <mergeCell ref="G373:G374"/>
    <mergeCell ref="H373:H374"/>
    <mergeCell ref="I373:J373"/>
    <mergeCell ref="K373:K374"/>
    <mergeCell ref="L373:L374"/>
    <mergeCell ref="A363:B363"/>
    <mergeCell ref="H363:I363"/>
    <mergeCell ref="J363:K363"/>
    <mergeCell ref="O363:P363"/>
    <mergeCell ref="A364:B364"/>
    <mergeCell ref="H364:I364"/>
    <mergeCell ref="J364:K364"/>
    <mergeCell ref="O364:P364"/>
    <mergeCell ref="A365:B365"/>
    <mergeCell ref="H365:I365"/>
    <mergeCell ref="J365:K365"/>
    <mergeCell ref="O365:P365"/>
    <mergeCell ref="G355:G356"/>
    <mergeCell ref="H355:I356"/>
    <mergeCell ref="J355:L355"/>
    <mergeCell ref="M355:M356"/>
    <mergeCell ref="N355:N356"/>
    <mergeCell ref="A362:B362"/>
    <mergeCell ref="H362:I362"/>
    <mergeCell ref="J362:K362"/>
    <mergeCell ref="O362:P362"/>
    <mergeCell ref="L358:L360"/>
    <mergeCell ref="H359:I359"/>
    <mergeCell ref="H360:I360"/>
    <mergeCell ref="A357:B357"/>
    <mergeCell ref="H357:I357"/>
    <mergeCell ref="J357:K357"/>
    <mergeCell ref="A358:B360"/>
    <mergeCell ref="C358:C360"/>
    <mergeCell ref="D358:D360"/>
    <mergeCell ref="E358:E360"/>
    <mergeCell ref="F358:F360"/>
    <mergeCell ref="G358:G360"/>
    <mergeCell ref="H358:I358"/>
    <mergeCell ref="J358:K360"/>
    <mergeCell ref="A324:P324"/>
    <mergeCell ref="B325:D325"/>
    <mergeCell ref="G325:P325"/>
    <mergeCell ref="B326:D326"/>
    <mergeCell ref="G326:P326"/>
    <mergeCell ref="A361:B361"/>
    <mergeCell ref="H361:I361"/>
    <mergeCell ref="J361:K361"/>
    <mergeCell ref="A343:P343"/>
    <mergeCell ref="E345:L345"/>
    <mergeCell ref="M345:N347"/>
    <mergeCell ref="O345:P347"/>
    <mergeCell ref="A346:L346"/>
    <mergeCell ref="A348:N348"/>
    <mergeCell ref="A354:B356"/>
    <mergeCell ref="C354:E354"/>
    <mergeCell ref="F354:G354"/>
    <mergeCell ref="H354:L354"/>
    <mergeCell ref="M354:O354"/>
    <mergeCell ref="P354:Q354"/>
    <mergeCell ref="C355:C356"/>
    <mergeCell ref="D355:D356"/>
    <mergeCell ref="E355:E356"/>
    <mergeCell ref="F355:F356"/>
    <mergeCell ref="D340:G340"/>
    <mergeCell ref="H340:K340"/>
    <mergeCell ref="Q308:R308"/>
    <mergeCell ref="C309:C310"/>
    <mergeCell ref="D309:D310"/>
    <mergeCell ref="E309:E310"/>
    <mergeCell ref="F309:F310"/>
    <mergeCell ref="G309:G310"/>
    <mergeCell ref="H309:H310"/>
    <mergeCell ref="I309:J309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B330:D330"/>
    <mergeCell ref="G330:P330"/>
    <mergeCell ref="A335:P335"/>
    <mergeCell ref="A311:B311"/>
    <mergeCell ref="A312:B312"/>
    <mergeCell ref="A313:B313"/>
    <mergeCell ref="A303:B303"/>
    <mergeCell ref="H303:I303"/>
    <mergeCell ref="J303:K303"/>
    <mergeCell ref="O303:P303"/>
    <mergeCell ref="A308:B310"/>
    <mergeCell ref="C308:E308"/>
    <mergeCell ref="F308:G308"/>
    <mergeCell ref="H308:J308"/>
    <mergeCell ref="K308:M308"/>
    <mergeCell ref="N308:P308"/>
    <mergeCell ref="A300:B300"/>
    <mergeCell ref="H300:I300"/>
    <mergeCell ref="J300:K300"/>
    <mergeCell ref="O300:P300"/>
    <mergeCell ref="A301:B301"/>
    <mergeCell ref="H301:I301"/>
    <mergeCell ref="J301:K301"/>
    <mergeCell ref="O301:P301"/>
    <mergeCell ref="A302:B302"/>
    <mergeCell ref="H302:I302"/>
    <mergeCell ref="J302:K302"/>
    <mergeCell ref="O302:P302"/>
    <mergeCell ref="L294:L296"/>
    <mergeCell ref="H295:I295"/>
    <mergeCell ref="H296:I296"/>
    <mergeCell ref="A290:B292"/>
    <mergeCell ref="A298:B298"/>
    <mergeCell ref="H298:I298"/>
    <mergeCell ref="J298:K298"/>
    <mergeCell ref="O298:P298"/>
    <mergeCell ref="A299:B299"/>
    <mergeCell ref="H299:I299"/>
    <mergeCell ref="J299:K299"/>
    <mergeCell ref="O299:P299"/>
    <mergeCell ref="C290:E290"/>
    <mergeCell ref="F290:G290"/>
    <mergeCell ref="H290:L290"/>
    <mergeCell ref="M290:O290"/>
    <mergeCell ref="P290:Q290"/>
    <mergeCell ref="C291:C292"/>
    <mergeCell ref="D291:D292"/>
    <mergeCell ref="E291:E292"/>
    <mergeCell ref="F291:F292"/>
    <mergeCell ref="G291:G292"/>
    <mergeCell ref="H291:I292"/>
    <mergeCell ref="J291:L291"/>
    <mergeCell ref="A293:B293"/>
    <mergeCell ref="H293:I293"/>
    <mergeCell ref="J293:K293"/>
    <mergeCell ref="A294:B296"/>
    <mergeCell ref="C294:C296"/>
    <mergeCell ref="D294:D296"/>
    <mergeCell ref="E294:E296"/>
    <mergeCell ref="F294:F296"/>
    <mergeCell ref="G294:G296"/>
    <mergeCell ref="H294:I294"/>
    <mergeCell ref="J294:K296"/>
    <mergeCell ref="A8:P8"/>
    <mergeCell ref="A9:P9"/>
    <mergeCell ref="O10:P10"/>
    <mergeCell ref="M11:N11"/>
    <mergeCell ref="O11:P11"/>
    <mergeCell ref="O12:P12"/>
    <mergeCell ref="A17:L17"/>
    <mergeCell ref="O17:P17"/>
    <mergeCell ref="M12:N12"/>
    <mergeCell ref="A21:P21"/>
    <mergeCell ref="A14:L14"/>
    <mergeCell ref="M14:N14"/>
    <mergeCell ref="O15:P15"/>
    <mergeCell ref="A16:L16"/>
    <mergeCell ref="O16:P16"/>
    <mergeCell ref="A22:P22"/>
    <mergeCell ref="O18:P18"/>
    <mergeCell ref="L13:N13"/>
    <mergeCell ref="A18:L18"/>
    <mergeCell ref="O13:P13"/>
    <mergeCell ref="O14:P14"/>
    <mergeCell ref="E24:L24"/>
    <mergeCell ref="O24:P26"/>
    <mergeCell ref="A25:L25"/>
    <mergeCell ref="A27:N27"/>
    <mergeCell ref="M24:N26"/>
    <mergeCell ref="A33:B35"/>
    <mergeCell ref="C33:E33"/>
    <mergeCell ref="F33:G33"/>
    <mergeCell ref="H33:L33"/>
    <mergeCell ref="M33:O33"/>
    <mergeCell ref="P33:Q33"/>
    <mergeCell ref="J34:L34"/>
    <mergeCell ref="M34:M35"/>
    <mergeCell ref="N34:N35"/>
    <mergeCell ref="O34:O35"/>
    <mergeCell ref="P34:P35"/>
    <mergeCell ref="Q34:Q35"/>
    <mergeCell ref="J35:K35"/>
    <mergeCell ref="A41:B41"/>
    <mergeCell ref="H41:I41"/>
    <mergeCell ref="J41:K41"/>
    <mergeCell ref="O41:P41"/>
    <mergeCell ref="A42:B42"/>
    <mergeCell ref="H42:I42"/>
    <mergeCell ref="J42:K42"/>
    <mergeCell ref="O42:P42"/>
    <mergeCell ref="A40:B40"/>
    <mergeCell ref="H40:I40"/>
    <mergeCell ref="J40:K40"/>
    <mergeCell ref="O45:P45"/>
    <mergeCell ref="A46:B46"/>
    <mergeCell ref="H46:I46"/>
    <mergeCell ref="J46:K46"/>
    <mergeCell ref="O46:P46"/>
    <mergeCell ref="A43:B43"/>
    <mergeCell ref="H43:I43"/>
    <mergeCell ref="J43:K43"/>
    <mergeCell ref="O43:P43"/>
    <mergeCell ref="A44:B44"/>
    <mergeCell ref="H44:I44"/>
    <mergeCell ref="J44:K44"/>
    <mergeCell ref="O44:P44"/>
    <mergeCell ref="C49:D49"/>
    <mergeCell ref="A53:B55"/>
    <mergeCell ref="C53:E53"/>
    <mergeCell ref="F53:G53"/>
    <mergeCell ref="H53:J53"/>
    <mergeCell ref="K53:M53"/>
    <mergeCell ref="M54:M55"/>
    <mergeCell ref="A45:B45"/>
    <mergeCell ref="H45:I45"/>
    <mergeCell ref="J45:K45"/>
    <mergeCell ref="C67:D67"/>
    <mergeCell ref="A71:P71"/>
    <mergeCell ref="B72:D72"/>
    <mergeCell ref="G72:P72"/>
    <mergeCell ref="B73:D73"/>
    <mergeCell ref="G73:P73"/>
    <mergeCell ref="N54:N55"/>
    <mergeCell ref="O54:O55"/>
    <mergeCell ref="P54:P55"/>
    <mergeCell ref="A56:B56"/>
    <mergeCell ref="A57:B57"/>
    <mergeCell ref="A58:B58"/>
    <mergeCell ref="C54:C55"/>
    <mergeCell ref="D54:D55"/>
    <mergeCell ref="E54:E55"/>
    <mergeCell ref="F54:F55"/>
    <mergeCell ref="G54:G55"/>
    <mergeCell ref="H54:H55"/>
    <mergeCell ref="I54:J54"/>
    <mergeCell ref="K54:K55"/>
    <mergeCell ref="L54:L55"/>
    <mergeCell ref="B77:D77"/>
    <mergeCell ref="G77:P77"/>
    <mergeCell ref="A82:P82"/>
    <mergeCell ref="A83:L83"/>
    <mergeCell ref="A87:C87"/>
    <mergeCell ref="D87:G87"/>
    <mergeCell ref="H87:K87"/>
    <mergeCell ref="B74:D74"/>
    <mergeCell ref="G74:P74"/>
    <mergeCell ref="B75:D75"/>
    <mergeCell ref="G75:P75"/>
    <mergeCell ref="B76:D76"/>
    <mergeCell ref="G76:P76"/>
    <mergeCell ref="H90:K90"/>
    <mergeCell ref="A91:C91"/>
    <mergeCell ref="D91:G91"/>
    <mergeCell ref="H91:K91"/>
    <mergeCell ref="A88:C88"/>
    <mergeCell ref="D88:G88"/>
    <mergeCell ref="H88:K88"/>
    <mergeCell ref="A89:C89"/>
    <mergeCell ref="D89:G89"/>
    <mergeCell ref="H89:K89"/>
    <mergeCell ref="J113:K113"/>
    <mergeCell ref="O113:P113"/>
    <mergeCell ref="A114:B114"/>
    <mergeCell ref="H114:I114"/>
    <mergeCell ref="J114:K114"/>
    <mergeCell ref="O114:P114"/>
    <mergeCell ref="A111:B111"/>
    <mergeCell ref="H111:I111"/>
    <mergeCell ref="J111:K111"/>
    <mergeCell ref="O111:P111"/>
    <mergeCell ref="A112:B112"/>
    <mergeCell ref="H112:I112"/>
    <mergeCell ref="J112:K112"/>
    <mergeCell ref="O112:P112"/>
    <mergeCell ref="C119:D119"/>
    <mergeCell ref="A123:B125"/>
    <mergeCell ref="C123:E123"/>
    <mergeCell ref="F123:G123"/>
    <mergeCell ref="H123:J123"/>
    <mergeCell ref="K123:M123"/>
    <mergeCell ref="M124:M125"/>
    <mergeCell ref="A115:B115"/>
    <mergeCell ref="H115:I115"/>
    <mergeCell ref="J115:K115"/>
    <mergeCell ref="A116:B116"/>
    <mergeCell ref="H116:I116"/>
    <mergeCell ref="J116:K116"/>
    <mergeCell ref="C137:D137"/>
    <mergeCell ref="A141:P141"/>
    <mergeCell ref="B142:D142"/>
    <mergeCell ref="G142:P142"/>
    <mergeCell ref="B143:D143"/>
    <mergeCell ref="G143:P143"/>
    <mergeCell ref="N124:N125"/>
    <mergeCell ref="O124:O125"/>
    <mergeCell ref="P124:P125"/>
    <mergeCell ref="A126:B126"/>
    <mergeCell ref="A127:B127"/>
    <mergeCell ref="A128:B128"/>
    <mergeCell ref="C124:C125"/>
    <mergeCell ref="D124:D125"/>
    <mergeCell ref="E124:E125"/>
    <mergeCell ref="F124:F125"/>
    <mergeCell ref="G124:G125"/>
    <mergeCell ref="H124:H125"/>
    <mergeCell ref="I124:J124"/>
    <mergeCell ref="K124:K125"/>
    <mergeCell ref="L124:L125"/>
    <mergeCell ref="B147:D147"/>
    <mergeCell ref="G147:P147"/>
    <mergeCell ref="A152:P152"/>
    <mergeCell ref="A153:L153"/>
    <mergeCell ref="A157:C157"/>
    <mergeCell ref="D157:G157"/>
    <mergeCell ref="H157:K157"/>
    <mergeCell ref="B144:D144"/>
    <mergeCell ref="G144:P144"/>
    <mergeCell ref="B145:D145"/>
    <mergeCell ref="G145:P145"/>
    <mergeCell ref="B146:D146"/>
    <mergeCell ref="G146:P146"/>
    <mergeCell ref="A160:C160"/>
    <mergeCell ref="D160:G160"/>
    <mergeCell ref="H160:K160"/>
    <mergeCell ref="A161:C161"/>
    <mergeCell ref="D161:G161"/>
    <mergeCell ref="H161:K161"/>
    <mergeCell ref="A158:C158"/>
    <mergeCell ref="D158:G158"/>
    <mergeCell ref="H158:K158"/>
    <mergeCell ref="A159:C159"/>
    <mergeCell ref="D159:G159"/>
    <mergeCell ref="H159:K159"/>
    <mergeCell ref="A162:P162"/>
    <mergeCell ref="E164:L164"/>
    <mergeCell ref="O164:P166"/>
    <mergeCell ref="A165:L165"/>
    <mergeCell ref="A167:N167"/>
    <mergeCell ref="M164:N166"/>
    <mergeCell ref="A176:B176"/>
    <mergeCell ref="H176:I176"/>
    <mergeCell ref="J176:K176"/>
    <mergeCell ref="A177:B179"/>
    <mergeCell ref="C177:C179"/>
    <mergeCell ref="A181:B181"/>
    <mergeCell ref="H181:I181"/>
    <mergeCell ref="J181:K181"/>
    <mergeCell ref="O181:P181"/>
    <mergeCell ref="A182:B182"/>
    <mergeCell ref="H182:I182"/>
    <mergeCell ref="J182:K182"/>
    <mergeCell ref="O182:P182"/>
    <mergeCell ref="A180:B180"/>
    <mergeCell ref="H180:I180"/>
    <mergeCell ref="J180:K180"/>
    <mergeCell ref="D177:D179"/>
    <mergeCell ref="E177:E179"/>
    <mergeCell ref="F177:F179"/>
    <mergeCell ref="G177:G179"/>
    <mergeCell ref="H177:I177"/>
    <mergeCell ref="J177:K179"/>
    <mergeCell ref="L177:L179"/>
    <mergeCell ref="H178:I178"/>
    <mergeCell ref="H179:I179"/>
    <mergeCell ref="O185:P185"/>
    <mergeCell ref="A186:B186"/>
    <mergeCell ref="H186:I186"/>
    <mergeCell ref="J186:K186"/>
    <mergeCell ref="O186:P186"/>
    <mergeCell ref="A183:B183"/>
    <mergeCell ref="H183:I183"/>
    <mergeCell ref="J183:K183"/>
    <mergeCell ref="O183:P183"/>
    <mergeCell ref="A184:B184"/>
    <mergeCell ref="H184:I184"/>
    <mergeCell ref="J184:K184"/>
    <mergeCell ref="O184:P184"/>
    <mergeCell ref="C189:D189"/>
    <mergeCell ref="A193:B195"/>
    <mergeCell ref="C193:E193"/>
    <mergeCell ref="F193:G193"/>
    <mergeCell ref="H193:J193"/>
    <mergeCell ref="K193:M193"/>
    <mergeCell ref="M194:M195"/>
    <mergeCell ref="A185:B185"/>
    <mergeCell ref="H185:I185"/>
    <mergeCell ref="J185:K185"/>
    <mergeCell ref="C207:D207"/>
    <mergeCell ref="A211:P211"/>
    <mergeCell ref="B212:D212"/>
    <mergeCell ref="G212:P212"/>
    <mergeCell ref="B213:D213"/>
    <mergeCell ref="G213:P213"/>
    <mergeCell ref="N194:N195"/>
    <mergeCell ref="O194:O195"/>
    <mergeCell ref="P194:P195"/>
    <mergeCell ref="A196:B196"/>
    <mergeCell ref="A197:B197"/>
    <mergeCell ref="A198:B198"/>
    <mergeCell ref="C194:C195"/>
    <mergeCell ref="D194:D195"/>
    <mergeCell ref="E194:E195"/>
    <mergeCell ref="F194:F195"/>
    <mergeCell ref="G194:G195"/>
    <mergeCell ref="H194:H195"/>
    <mergeCell ref="I194:J194"/>
    <mergeCell ref="K194:K195"/>
    <mergeCell ref="L194:L195"/>
    <mergeCell ref="B217:D217"/>
    <mergeCell ref="G217:P217"/>
    <mergeCell ref="A222:P222"/>
    <mergeCell ref="A223:L223"/>
    <mergeCell ref="A227:C227"/>
    <mergeCell ref="D227:G227"/>
    <mergeCell ref="H227:K227"/>
    <mergeCell ref="B214:D214"/>
    <mergeCell ref="G214:P214"/>
    <mergeCell ref="B215:D215"/>
    <mergeCell ref="G215:P215"/>
    <mergeCell ref="B216:D216"/>
    <mergeCell ref="G216:P216"/>
    <mergeCell ref="A228:C228"/>
    <mergeCell ref="D228:G228"/>
    <mergeCell ref="H228:K228"/>
    <mergeCell ref="A229:C229"/>
    <mergeCell ref="D229:G229"/>
    <mergeCell ref="H229:K229"/>
    <mergeCell ref="A254:B254"/>
    <mergeCell ref="A255:B255"/>
    <mergeCell ref="N251:P251"/>
    <mergeCell ref="C252:C253"/>
    <mergeCell ref="D252:D253"/>
    <mergeCell ref="E252:E253"/>
    <mergeCell ref="F252:F253"/>
    <mergeCell ref="G252:G253"/>
    <mergeCell ref="H252:H253"/>
    <mergeCell ref="I252:J252"/>
    <mergeCell ref="K252:K253"/>
    <mergeCell ref="L252:L253"/>
    <mergeCell ref="A251:B253"/>
    <mergeCell ref="C251:E251"/>
    <mergeCell ref="F251:G251"/>
    <mergeCell ref="H251:J251"/>
    <mergeCell ref="K251:M251"/>
    <mergeCell ref="M252:M253"/>
    <mergeCell ref="B263:D263"/>
    <mergeCell ref="G263:P263"/>
    <mergeCell ref="B264:D264"/>
    <mergeCell ref="G264:P264"/>
    <mergeCell ref="B265:D265"/>
    <mergeCell ref="G265:P265"/>
    <mergeCell ref="A260:P260"/>
    <mergeCell ref="B261:D261"/>
    <mergeCell ref="G261:P261"/>
    <mergeCell ref="B262:D262"/>
    <mergeCell ref="G262:P262"/>
    <mergeCell ref="H421:M421"/>
    <mergeCell ref="A411:N411"/>
    <mergeCell ref="A278:C278"/>
    <mergeCell ref="D278:G278"/>
    <mergeCell ref="H278:K278"/>
    <mergeCell ref="B266:D266"/>
    <mergeCell ref="G266:P266"/>
    <mergeCell ref="A271:P271"/>
    <mergeCell ref="A272:L272"/>
    <mergeCell ref="A276:C276"/>
    <mergeCell ref="D276:G276"/>
    <mergeCell ref="H276:K276"/>
    <mergeCell ref="A277:C277"/>
    <mergeCell ref="D277:G277"/>
    <mergeCell ref="H277:K277"/>
    <mergeCell ref="A297:B297"/>
    <mergeCell ref="H297:I297"/>
    <mergeCell ref="J297:K297"/>
    <mergeCell ref="A279:P279"/>
    <mergeCell ref="E281:L281"/>
    <mergeCell ref="M281:N283"/>
    <mergeCell ref="O281:P283"/>
    <mergeCell ref="A282:L282"/>
    <mergeCell ref="A284:N284"/>
    <mergeCell ref="Q53:R53"/>
    <mergeCell ref="Q54:Q55"/>
    <mergeCell ref="R54:R55"/>
    <mergeCell ref="M94:N96"/>
    <mergeCell ref="Q123:R123"/>
    <mergeCell ref="Q124:Q125"/>
    <mergeCell ref="R124:R125"/>
    <mergeCell ref="N123:P123"/>
    <mergeCell ref="O115:P115"/>
    <mergeCell ref="O116:P116"/>
    <mergeCell ref="N53:P53"/>
    <mergeCell ref="A92:P92"/>
    <mergeCell ref="E94:L94"/>
    <mergeCell ref="O94:P96"/>
    <mergeCell ref="A95:L95"/>
    <mergeCell ref="A97:N97"/>
    <mergeCell ref="A103:B105"/>
    <mergeCell ref="C103:E103"/>
    <mergeCell ref="F103:G103"/>
    <mergeCell ref="A110:B110"/>
    <mergeCell ref="H110:I110"/>
    <mergeCell ref="J110:K110"/>
    <mergeCell ref="A90:C90"/>
    <mergeCell ref="D90:G90"/>
    <mergeCell ref="Q193:R193"/>
    <mergeCell ref="Q194:Q195"/>
    <mergeCell ref="R194:R195"/>
    <mergeCell ref="M232:N234"/>
    <mergeCell ref="Q251:R251"/>
    <mergeCell ref="Q252:Q253"/>
    <mergeCell ref="R252:R253"/>
    <mergeCell ref="N252:N253"/>
    <mergeCell ref="O252:O253"/>
    <mergeCell ref="P252:P253"/>
    <mergeCell ref="N193:P193"/>
    <mergeCell ref="A230:P230"/>
    <mergeCell ref="E232:L232"/>
    <mergeCell ref="O232:P234"/>
    <mergeCell ref="A233:L233"/>
    <mergeCell ref="A235:N235"/>
    <mergeCell ref="A241:B243"/>
    <mergeCell ref="C241:E241"/>
    <mergeCell ref="F241:G241"/>
    <mergeCell ref="H241:L241"/>
    <mergeCell ref="M241:O241"/>
    <mergeCell ref="P241:Q241"/>
    <mergeCell ref="C242:C243"/>
    <mergeCell ref="D242:D243"/>
    <mergeCell ref="A437:R437"/>
    <mergeCell ref="A438:R438"/>
    <mergeCell ref="A439:R439"/>
    <mergeCell ref="A442:R442"/>
    <mergeCell ref="A443:R443"/>
    <mergeCell ref="A445:R445"/>
    <mergeCell ref="H425:O425"/>
    <mergeCell ref="A409:P409"/>
    <mergeCell ref="A412:O412"/>
    <mergeCell ref="J414:O414"/>
    <mergeCell ref="A415:O415"/>
    <mergeCell ref="A419:C419"/>
    <mergeCell ref="D419:G419"/>
    <mergeCell ref="H419:M419"/>
    <mergeCell ref="A422:C422"/>
    <mergeCell ref="D422:G422"/>
    <mergeCell ref="H422:M422"/>
    <mergeCell ref="H427:P427"/>
    <mergeCell ref="A433:O433"/>
    <mergeCell ref="A420:C420"/>
    <mergeCell ref="D420:G420"/>
    <mergeCell ref="H420:M420"/>
    <mergeCell ref="A421:C421"/>
    <mergeCell ref="D421:G421"/>
  </mergeCells>
  <pageMargins left="0.16" right="0.2" top="0.19" bottom="0.19" header="0.19" footer="0.19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G10" sqref="G10"/>
    </sheetView>
  </sheetViews>
  <sheetFormatPr defaultRowHeight="15"/>
  <cols>
    <col min="1" max="1" width="6.5703125" customWidth="1"/>
    <col min="2" max="2" width="41.28515625" customWidth="1"/>
    <col min="3" max="3" width="19" customWidth="1"/>
    <col min="4" max="4" width="13.85546875" customWidth="1"/>
    <col min="5" max="7" width="13.5703125" customWidth="1"/>
    <col min="8" max="8" width="13.7109375" customWidth="1"/>
    <col min="9" max="9" width="22.42578125" customWidth="1"/>
    <col min="257" max="257" width="6.5703125" customWidth="1"/>
    <col min="258" max="258" width="35.5703125" customWidth="1"/>
    <col min="259" max="259" width="17.42578125" customWidth="1"/>
    <col min="260" max="260" width="11.5703125" customWidth="1"/>
    <col min="261" max="261" width="12.7109375" customWidth="1"/>
    <col min="262" max="263" width="11.5703125" customWidth="1"/>
    <col min="264" max="264" width="13.7109375" customWidth="1"/>
    <col min="265" max="265" width="22.42578125" customWidth="1"/>
    <col min="513" max="513" width="6.5703125" customWidth="1"/>
    <col min="514" max="514" width="35.5703125" customWidth="1"/>
    <col min="515" max="515" width="17.42578125" customWidth="1"/>
    <col min="516" max="516" width="11.5703125" customWidth="1"/>
    <col min="517" max="517" width="12.7109375" customWidth="1"/>
    <col min="518" max="519" width="11.5703125" customWidth="1"/>
    <col min="520" max="520" width="13.7109375" customWidth="1"/>
    <col min="521" max="521" width="22.42578125" customWidth="1"/>
    <col min="769" max="769" width="6.5703125" customWidth="1"/>
    <col min="770" max="770" width="35.5703125" customWidth="1"/>
    <col min="771" max="771" width="17.42578125" customWidth="1"/>
    <col min="772" max="772" width="11.5703125" customWidth="1"/>
    <col min="773" max="773" width="12.7109375" customWidth="1"/>
    <col min="774" max="775" width="11.5703125" customWidth="1"/>
    <col min="776" max="776" width="13.7109375" customWidth="1"/>
    <col min="777" max="777" width="22.42578125" customWidth="1"/>
    <col min="1025" max="1025" width="6.5703125" customWidth="1"/>
    <col min="1026" max="1026" width="35.5703125" customWidth="1"/>
    <col min="1027" max="1027" width="17.42578125" customWidth="1"/>
    <col min="1028" max="1028" width="11.5703125" customWidth="1"/>
    <col min="1029" max="1029" width="12.7109375" customWidth="1"/>
    <col min="1030" max="1031" width="11.5703125" customWidth="1"/>
    <col min="1032" max="1032" width="13.7109375" customWidth="1"/>
    <col min="1033" max="1033" width="22.42578125" customWidth="1"/>
    <col min="1281" max="1281" width="6.5703125" customWidth="1"/>
    <col min="1282" max="1282" width="35.5703125" customWidth="1"/>
    <col min="1283" max="1283" width="17.42578125" customWidth="1"/>
    <col min="1284" max="1284" width="11.5703125" customWidth="1"/>
    <col min="1285" max="1285" width="12.7109375" customWidth="1"/>
    <col min="1286" max="1287" width="11.5703125" customWidth="1"/>
    <col min="1288" max="1288" width="13.7109375" customWidth="1"/>
    <col min="1289" max="1289" width="22.42578125" customWidth="1"/>
    <col min="1537" max="1537" width="6.5703125" customWidth="1"/>
    <col min="1538" max="1538" width="35.5703125" customWidth="1"/>
    <col min="1539" max="1539" width="17.42578125" customWidth="1"/>
    <col min="1540" max="1540" width="11.5703125" customWidth="1"/>
    <col min="1541" max="1541" width="12.7109375" customWidth="1"/>
    <col min="1542" max="1543" width="11.5703125" customWidth="1"/>
    <col min="1544" max="1544" width="13.7109375" customWidth="1"/>
    <col min="1545" max="1545" width="22.42578125" customWidth="1"/>
    <col min="1793" max="1793" width="6.5703125" customWidth="1"/>
    <col min="1794" max="1794" width="35.5703125" customWidth="1"/>
    <col min="1795" max="1795" width="17.42578125" customWidth="1"/>
    <col min="1796" max="1796" width="11.5703125" customWidth="1"/>
    <col min="1797" max="1797" width="12.7109375" customWidth="1"/>
    <col min="1798" max="1799" width="11.5703125" customWidth="1"/>
    <col min="1800" max="1800" width="13.7109375" customWidth="1"/>
    <col min="1801" max="1801" width="22.42578125" customWidth="1"/>
    <col min="2049" max="2049" width="6.5703125" customWidth="1"/>
    <col min="2050" max="2050" width="35.5703125" customWidth="1"/>
    <col min="2051" max="2051" width="17.42578125" customWidth="1"/>
    <col min="2052" max="2052" width="11.5703125" customWidth="1"/>
    <col min="2053" max="2053" width="12.7109375" customWidth="1"/>
    <col min="2054" max="2055" width="11.5703125" customWidth="1"/>
    <col min="2056" max="2056" width="13.7109375" customWidth="1"/>
    <col min="2057" max="2057" width="22.42578125" customWidth="1"/>
    <col min="2305" max="2305" width="6.5703125" customWidth="1"/>
    <col min="2306" max="2306" width="35.5703125" customWidth="1"/>
    <col min="2307" max="2307" width="17.42578125" customWidth="1"/>
    <col min="2308" max="2308" width="11.5703125" customWidth="1"/>
    <col min="2309" max="2309" width="12.7109375" customWidth="1"/>
    <col min="2310" max="2311" width="11.5703125" customWidth="1"/>
    <col min="2312" max="2312" width="13.7109375" customWidth="1"/>
    <col min="2313" max="2313" width="22.42578125" customWidth="1"/>
    <col min="2561" max="2561" width="6.5703125" customWidth="1"/>
    <col min="2562" max="2562" width="35.5703125" customWidth="1"/>
    <col min="2563" max="2563" width="17.42578125" customWidth="1"/>
    <col min="2564" max="2564" width="11.5703125" customWidth="1"/>
    <col min="2565" max="2565" width="12.7109375" customWidth="1"/>
    <col min="2566" max="2567" width="11.5703125" customWidth="1"/>
    <col min="2568" max="2568" width="13.7109375" customWidth="1"/>
    <col min="2569" max="2569" width="22.42578125" customWidth="1"/>
    <col min="2817" max="2817" width="6.5703125" customWidth="1"/>
    <col min="2818" max="2818" width="35.5703125" customWidth="1"/>
    <col min="2819" max="2819" width="17.42578125" customWidth="1"/>
    <col min="2820" max="2820" width="11.5703125" customWidth="1"/>
    <col min="2821" max="2821" width="12.7109375" customWidth="1"/>
    <col min="2822" max="2823" width="11.5703125" customWidth="1"/>
    <col min="2824" max="2824" width="13.7109375" customWidth="1"/>
    <col min="2825" max="2825" width="22.42578125" customWidth="1"/>
    <col min="3073" max="3073" width="6.5703125" customWidth="1"/>
    <col min="3074" max="3074" width="35.5703125" customWidth="1"/>
    <col min="3075" max="3075" width="17.42578125" customWidth="1"/>
    <col min="3076" max="3076" width="11.5703125" customWidth="1"/>
    <col min="3077" max="3077" width="12.7109375" customWidth="1"/>
    <col min="3078" max="3079" width="11.5703125" customWidth="1"/>
    <col min="3080" max="3080" width="13.7109375" customWidth="1"/>
    <col min="3081" max="3081" width="22.42578125" customWidth="1"/>
    <col min="3329" max="3329" width="6.5703125" customWidth="1"/>
    <col min="3330" max="3330" width="35.5703125" customWidth="1"/>
    <col min="3331" max="3331" width="17.42578125" customWidth="1"/>
    <col min="3332" max="3332" width="11.5703125" customWidth="1"/>
    <col min="3333" max="3333" width="12.7109375" customWidth="1"/>
    <col min="3334" max="3335" width="11.5703125" customWidth="1"/>
    <col min="3336" max="3336" width="13.7109375" customWidth="1"/>
    <col min="3337" max="3337" width="22.42578125" customWidth="1"/>
    <col min="3585" max="3585" width="6.5703125" customWidth="1"/>
    <col min="3586" max="3586" width="35.5703125" customWidth="1"/>
    <col min="3587" max="3587" width="17.42578125" customWidth="1"/>
    <col min="3588" max="3588" width="11.5703125" customWidth="1"/>
    <col min="3589" max="3589" width="12.7109375" customWidth="1"/>
    <col min="3590" max="3591" width="11.5703125" customWidth="1"/>
    <col min="3592" max="3592" width="13.7109375" customWidth="1"/>
    <col min="3593" max="3593" width="22.42578125" customWidth="1"/>
    <col min="3841" max="3841" width="6.5703125" customWidth="1"/>
    <col min="3842" max="3842" width="35.5703125" customWidth="1"/>
    <col min="3843" max="3843" width="17.42578125" customWidth="1"/>
    <col min="3844" max="3844" width="11.5703125" customWidth="1"/>
    <col min="3845" max="3845" width="12.7109375" customWidth="1"/>
    <col min="3846" max="3847" width="11.5703125" customWidth="1"/>
    <col min="3848" max="3848" width="13.7109375" customWidth="1"/>
    <col min="3849" max="3849" width="22.42578125" customWidth="1"/>
    <col min="4097" max="4097" width="6.5703125" customWidth="1"/>
    <col min="4098" max="4098" width="35.5703125" customWidth="1"/>
    <col min="4099" max="4099" width="17.42578125" customWidth="1"/>
    <col min="4100" max="4100" width="11.5703125" customWidth="1"/>
    <col min="4101" max="4101" width="12.7109375" customWidth="1"/>
    <col min="4102" max="4103" width="11.5703125" customWidth="1"/>
    <col min="4104" max="4104" width="13.7109375" customWidth="1"/>
    <col min="4105" max="4105" width="22.42578125" customWidth="1"/>
    <col min="4353" max="4353" width="6.5703125" customWidth="1"/>
    <col min="4354" max="4354" width="35.5703125" customWidth="1"/>
    <col min="4355" max="4355" width="17.42578125" customWidth="1"/>
    <col min="4356" max="4356" width="11.5703125" customWidth="1"/>
    <col min="4357" max="4357" width="12.7109375" customWidth="1"/>
    <col min="4358" max="4359" width="11.5703125" customWidth="1"/>
    <col min="4360" max="4360" width="13.7109375" customWidth="1"/>
    <col min="4361" max="4361" width="22.42578125" customWidth="1"/>
    <col min="4609" max="4609" width="6.5703125" customWidth="1"/>
    <col min="4610" max="4610" width="35.5703125" customWidth="1"/>
    <col min="4611" max="4611" width="17.42578125" customWidth="1"/>
    <col min="4612" max="4612" width="11.5703125" customWidth="1"/>
    <col min="4613" max="4613" width="12.7109375" customWidth="1"/>
    <col min="4614" max="4615" width="11.5703125" customWidth="1"/>
    <col min="4616" max="4616" width="13.7109375" customWidth="1"/>
    <col min="4617" max="4617" width="22.42578125" customWidth="1"/>
    <col min="4865" max="4865" width="6.5703125" customWidth="1"/>
    <col min="4866" max="4866" width="35.5703125" customWidth="1"/>
    <col min="4867" max="4867" width="17.42578125" customWidth="1"/>
    <col min="4868" max="4868" width="11.5703125" customWidth="1"/>
    <col min="4869" max="4869" width="12.7109375" customWidth="1"/>
    <col min="4870" max="4871" width="11.5703125" customWidth="1"/>
    <col min="4872" max="4872" width="13.7109375" customWidth="1"/>
    <col min="4873" max="4873" width="22.42578125" customWidth="1"/>
    <col min="5121" max="5121" width="6.5703125" customWidth="1"/>
    <col min="5122" max="5122" width="35.5703125" customWidth="1"/>
    <col min="5123" max="5123" width="17.42578125" customWidth="1"/>
    <col min="5124" max="5124" width="11.5703125" customWidth="1"/>
    <col min="5125" max="5125" width="12.7109375" customWidth="1"/>
    <col min="5126" max="5127" width="11.5703125" customWidth="1"/>
    <col min="5128" max="5128" width="13.7109375" customWidth="1"/>
    <col min="5129" max="5129" width="22.42578125" customWidth="1"/>
    <col min="5377" max="5377" width="6.5703125" customWidth="1"/>
    <col min="5378" max="5378" width="35.5703125" customWidth="1"/>
    <col min="5379" max="5379" width="17.42578125" customWidth="1"/>
    <col min="5380" max="5380" width="11.5703125" customWidth="1"/>
    <col min="5381" max="5381" width="12.7109375" customWidth="1"/>
    <col min="5382" max="5383" width="11.5703125" customWidth="1"/>
    <col min="5384" max="5384" width="13.7109375" customWidth="1"/>
    <col min="5385" max="5385" width="22.42578125" customWidth="1"/>
    <col min="5633" max="5633" width="6.5703125" customWidth="1"/>
    <col min="5634" max="5634" width="35.5703125" customWidth="1"/>
    <col min="5635" max="5635" width="17.42578125" customWidth="1"/>
    <col min="5636" max="5636" width="11.5703125" customWidth="1"/>
    <col min="5637" max="5637" width="12.7109375" customWidth="1"/>
    <col min="5638" max="5639" width="11.5703125" customWidth="1"/>
    <col min="5640" max="5640" width="13.7109375" customWidth="1"/>
    <col min="5641" max="5641" width="22.42578125" customWidth="1"/>
    <col min="5889" max="5889" width="6.5703125" customWidth="1"/>
    <col min="5890" max="5890" width="35.5703125" customWidth="1"/>
    <col min="5891" max="5891" width="17.42578125" customWidth="1"/>
    <col min="5892" max="5892" width="11.5703125" customWidth="1"/>
    <col min="5893" max="5893" width="12.7109375" customWidth="1"/>
    <col min="5894" max="5895" width="11.5703125" customWidth="1"/>
    <col min="5896" max="5896" width="13.7109375" customWidth="1"/>
    <col min="5897" max="5897" width="22.42578125" customWidth="1"/>
    <col min="6145" max="6145" width="6.5703125" customWidth="1"/>
    <col min="6146" max="6146" width="35.5703125" customWidth="1"/>
    <col min="6147" max="6147" width="17.42578125" customWidth="1"/>
    <col min="6148" max="6148" width="11.5703125" customWidth="1"/>
    <col min="6149" max="6149" width="12.7109375" customWidth="1"/>
    <col min="6150" max="6151" width="11.5703125" customWidth="1"/>
    <col min="6152" max="6152" width="13.7109375" customWidth="1"/>
    <col min="6153" max="6153" width="22.42578125" customWidth="1"/>
    <col min="6401" max="6401" width="6.5703125" customWidth="1"/>
    <col min="6402" max="6402" width="35.5703125" customWidth="1"/>
    <col min="6403" max="6403" width="17.42578125" customWidth="1"/>
    <col min="6404" max="6404" width="11.5703125" customWidth="1"/>
    <col min="6405" max="6405" width="12.7109375" customWidth="1"/>
    <col min="6406" max="6407" width="11.5703125" customWidth="1"/>
    <col min="6408" max="6408" width="13.7109375" customWidth="1"/>
    <col min="6409" max="6409" width="22.42578125" customWidth="1"/>
    <col min="6657" max="6657" width="6.5703125" customWidth="1"/>
    <col min="6658" max="6658" width="35.5703125" customWidth="1"/>
    <col min="6659" max="6659" width="17.42578125" customWidth="1"/>
    <col min="6660" max="6660" width="11.5703125" customWidth="1"/>
    <col min="6661" max="6661" width="12.7109375" customWidth="1"/>
    <col min="6662" max="6663" width="11.5703125" customWidth="1"/>
    <col min="6664" max="6664" width="13.7109375" customWidth="1"/>
    <col min="6665" max="6665" width="22.42578125" customWidth="1"/>
    <col min="6913" max="6913" width="6.5703125" customWidth="1"/>
    <col min="6914" max="6914" width="35.5703125" customWidth="1"/>
    <col min="6915" max="6915" width="17.42578125" customWidth="1"/>
    <col min="6916" max="6916" width="11.5703125" customWidth="1"/>
    <col min="6917" max="6917" width="12.7109375" customWidth="1"/>
    <col min="6918" max="6919" width="11.5703125" customWidth="1"/>
    <col min="6920" max="6920" width="13.7109375" customWidth="1"/>
    <col min="6921" max="6921" width="22.42578125" customWidth="1"/>
    <col min="7169" max="7169" width="6.5703125" customWidth="1"/>
    <col min="7170" max="7170" width="35.5703125" customWidth="1"/>
    <col min="7171" max="7171" width="17.42578125" customWidth="1"/>
    <col min="7172" max="7172" width="11.5703125" customWidth="1"/>
    <col min="7173" max="7173" width="12.7109375" customWidth="1"/>
    <col min="7174" max="7175" width="11.5703125" customWidth="1"/>
    <col min="7176" max="7176" width="13.7109375" customWidth="1"/>
    <col min="7177" max="7177" width="22.42578125" customWidth="1"/>
    <col min="7425" max="7425" width="6.5703125" customWidth="1"/>
    <col min="7426" max="7426" width="35.5703125" customWidth="1"/>
    <col min="7427" max="7427" width="17.42578125" customWidth="1"/>
    <col min="7428" max="7428" width="11.5703125" customWidth="1"/>
    <col min="7429" max="7429" width="12.7109375" customWidth="1"/>
    <col min="7430" max="7431" width="11.5703125" customWidth="1"/>
    <col min="7432" max="7432" width="13.7109375" customWidth="1"/>
    <col min="7433" max="7433" width="22.42578125" customWidth="1"/>
    <col min="7681" max="7681" width="6.5703125" customWidth="1"/>
    <col min="7682" max="7682" width="35.5703125" customWidth="1"/>
    <col min="7683" max="7683" width="17.42578125" customWidth="1"/>
    <col min="7684" max="7684" width="11.5703125" customWidth="1"/>
    <col min="7685" max="7685" width="12.7109375" customWidth="1"/>
    <col min="7686" max="7687" width="11.5703125" customWidth="1"/>
    <col min="7688" max="7688" width="13.7109375" customWidth="1"/>
    <col min="7689" max="7689" width="22.42578125" customWidth="1"/>
    <col min="7937" max="7937" width="6.5703125" customWidth="1"/>
    <col min="7938" max="7938" width="35.5703125" customWidth="1"/>
    <col min="7939" max="7939" width="17.42578125" customWidth="1"/>
    <col min="7940" max="7940" width="11.5703125" customWidth="1"/>
    <col min="7941" max="7941" width="12.7109375" customWidth="1"/>
    <col min="7942" max="7943" width="11.5703125" customWidth="1"/>
    <col min="7944" max="7944" width="13.7109375" customWidth="1"/>
    <col min="7945" max="7945" width="22.42578125" customWidth="1"/>
    <col min="8193" max="8193" width="6.5703125" customWidth="1"/>
    <col min="8194" max="8194" width="35.5703125" customWidth="1"/>
    <col min="8195" max="8195" width="17.42578125" customWidth="1"/>
    <col min="8196" max="8196" width="11.5703125" customWidth="1"/>
    <col min="8197" max="8197" width="12.7109375" customWidth="1"/>
    <col min="8198" max="8199" width="11.5703125" customWidth="1"/>
    <col min="8200" max="8200" width="13.7109375" customWidth="1"/>
    <col min="8201" max="8201" width="22.42578125" customWidth="1"/>
    <col min="8449" max="8449" width="6.5703125" customWidth="1"/>
    <col min="8450" max="8450" width="35.5703125" customWidth="1"/>
    <col min="8451" max="8451" width="17.42578125" customWidth="1"/>
    <col min="8452" max="8452" width="11.5703125" customWidth="1"/>
    <col min="8453" max="8453" width="12.7109375" customWidth="1"/>
    <col min="8454" max="8455" width="11.5703125" customWidth="1"/>
    <col min="8456" max="8456" width="13.7109375" customWidth="1"/>
    <col min="8457" max="8457" width="22.42578125" customWidth="1"/>
    <col min="8705" max="8705" width="6.5703125" customWidth="1"/>
    <col min="8706" max="8706" width="35.5703125" customWidth="1"/>
    <col min="8707" max="8707" width="17.42578125" customWidth="1"/>
    <col min="8708" max="8708" width="11.5703125" customWidth="1"/>
    <col min="8709" max="8709" width="12.7109375" customWidth="1"/>
    <col min="8710" max="8711" width="11.5703125" customWidth="1"/>
    <col min="8712" max="8712" width="13.7109375" customWidth="1"/>
    <col min="8713" max="8713" width="22.42578125" customWidth="1"/>
    <col min="8961" max="8961" width="6.5703125" customWidth="1"/>
    <col min="8962" max="8962" width="35.5703125" customWidth="1"/>
    <col min="8963" max="8963" width="17.42578125" customWidth="1"/>
    <col min="8964" max="8964" width="11.5703125" customWidth="1"/>
    <col min="8965" max="8965" width="12.7109375" customWidth="1"/>
    <col min="8966" max="8967" width="11.5703125" customWidth="1"/>
    <col min="8968" max="8968" width="13.7109375" customWidth="1"/>
    <col min="8969" max="8969" width="22.42578125" customWidth="1"/>
    <col min="9217" max="9217" width="6.5703125" customWidth="1"/>
    <col min="9218" max="9218" width="35.5703125" customWidth="1"/>
    <col min="9219" max="9219" width="17.42578125" customWidth="1"/>
    <col min="9220" max="9220" width="11.5703125" customWidth="1"/>
    <col min="9221" max="9221" width="12.7109375" customWidth="1"/>
    <col min="9222" max="9223" width="11.5703125" customWidth="1"/>
    <col min="9224" max="9224" width="13.7109375" customWidth="1"/>
    <col min="9225" max="9225" width="22.42578125" customWidth="1"/>
    <col min="9473" max="9473" width="6.5703125" customWidth="1"/>
    <col min="9474" max="9474" width="35.5703125" customWidth="1"/>
    <col min="9475" max="9475" width="17.42578125" customWidth="1"/>
    <col min="9476" max="9476" width="11.5703125" customWidth="1"/>
    <col min="9477" max="9477" width="12.7109375" customWidth="1"/>
    <col min="9478" max="9479" width="11.5703125" customWidth="1"/>
    <col min="9480" max="9480" width="13.7109375" customWidth="1"/>
    <col min="9481" max="9481" width="22.42578125" customWidth="1"/>
    <col min="9729" max="9729" width="6.5703125" customWidth="1"/>
    <col min="9730" max="9730" width="35.5703125" customWidth="1"/>
    <col min="9731" max="9731" width="17.42578125" customWidth="1"/>
    <col min="9732" max="9732" width="11.5703125" customWidth="1"/>
    <col min="9733" max="9733" width="12.7109375" customWidth="1"/>
    <col min="9734" max="9735" width="11.5703125" customWidth="1"/>
    <col min="9736" max="9736" width="13.7109375" customWidth="1"/>
    <col min="9737" max="9737" width="22.42578125" customWidth="1"/>
    <col min="9985" max="9985" width="6.5703125" customWidth="1"/>
    <col min="9986" max="9986" width="35.5703125" customWidth="1"/>
    <col min="9987" max="9987" width="17.42578125" customWidth="1"/>
    <col min="9988" max="9988" width="11.5703125" customWidth="1"/>
    <col min="9989" max="9989" width="12.7109375" customWidth="1"/>
    <col min="9990" max="9991" width="11.5703125" customWidth="1"/>
    <col min="9992" max="9992" width="13.7109375" customWidth="1"/>
    <col min="9993" max="9993" width="22.42578125" customWidth="1"/>
    <col min="10241" max="10241" width="6.5703125" customWidth="1"/>
    <col min="10242" max="10242" width="35.5703125" customWidth="1"/>
    <col min="10243" max="10243" width="17.42578125" customWidth="1"/>
    <col min="10244" max="10244" width="11.5703125" customWidth="1"/>
    <col min="10245" max="10245" width="12.7109375" customWidth="1"/>
    <col min="10246" max="10247" width="11.5703125" customWidth="1"/>
    <col min="10248" max="10248" width="13.7109375" customWidth="1"/>
    <col min="10249" max="10249" width="22.42578125" customWidth="1"/>
    <col min="10497" max="10497" width="6.5703125" customWidth="1"/>
    <col min="10498" max="10498" width="35.5703125" customWidth="1"/>
    <col min="10499" max="10499" width="17.42578125" customWidth="1"/>
    <col min="10500" max="10500" width="11.5703125" customWidth="1"/>
    <col min="10501" max="10501" width="12.7109375" customWidth="1"/>
    <col min="10502" max="10503" width="11.5703125" customWidth="1"/>
    <col min="10504" max="10504" width="13.7109375" customWidth="1"/>
    <col min="10505" max="10505" width="22.42578125" customWidth="1"/>
    <col min="10753" max="10753" width="6.5703125" customWidth="1"/>
    <col min="10754" max="10754" width="35.5703125" customWidth="1"/>
    <col min="10755" max="10755" width="17.42578125" customWidth="1"/>
    <col min="10756" max="10756" width="11.5703125" customWidth="1"/>
    <col min="10757" max="10757" width="12.7109375" customWidth="1"/>
    <col min="10758" max="10759" width="11.5703125" customWidth="1"/>
    <col min="10760" max="10760" width="13.7109375" customWidth="1"/>
    <col min="10761" max="10761" width="22.42578125" customWidth="1"/>
    <col min="11009" max="11009" width="6.5703125" customWidth="1"/>
    <col min="11010" max="11010" width="35.5703125" customWidth="1"/>
    <col min="11011" max="11011" width="17.42578125" customWidth="1"/>
    <col min="11012" max="11012" width="11.5703125" customWidth="1"/>
    <col min="11013" max="11013" width="12.7109375" customWidth="1"/>
    <col min="11014" max="11015" width="11.5703125" customWidth="1"/>
    <col min="11016" max="11016" width="13.7109375" customWidth="1"/>
    <col min="11017" max="11017" width="22.42578125" customWidth="1"/>
    <col min="11265" max="11265" width="6.5703125" customWidth="1"/>
    <col min="11266" max="11266" width="35.5703125" customWidth="1"/>
    <col min="11267" max="11267" width="17.42578125" customWidth="1"/>
    <col min="11268" max="11268" width="11.5703125" customWidth="1"/>
    <col min="11269" max="11269" width="12.7109375" customWidth="1"/>
    <col min="11270" max="11271" width="11.5703125" customWidth="1"/>
    <col min="11272" max="11272" width="13.7109375" customWidth="1"/>
    <col min="11273" max="11273" width="22.42578125" customWidth="1"/>
    <col min="11521" max="11521" width="6.5703125" customWidth="1"/>
    <col min="11522" max="11522" width="35.5703125" customWidth="1"/>
    <col min="11523" max="11523" width="17.42578125" customWidth="1"/>
    <col min="11524" max="11524" width="11.5703125" customWidth="1"/>
    <col min="11525" max="11525" width="12.7109375" customWidth="1"/>
    <col min="11526" max="11527" width="11.5703125" customWidth="1"/>
    <col min="11528" max="11528" width="13.7109375" customWidth="1"/>
    <col min="11529" max="11529" width="22.42578125" customWidth="1"/>
    <col min="11777" max="11777" width="6.5703125" customWidth="1"/>
    <col min="11778" max="11778" width="35.5703125" customWidth="1"/>
    <col min="11779" max="11779" width="17.42578125" customWidth="1"/>
    <col min="11780" max="11780" width="11.5703125" customWidth="1"/>
    <col min="11781" max="11781" width="12.7109375" customWidth="1"/>
    <col min="11782" max="11783" width="11.5703125" customWidth="1"/>
    <col min="11784" max="11784" width="13.7109375" customWidth="1"/>
    <col min="11785" max="11785" width="22.42578125" customWidth="1"/>
    <col min="12033" max="12033" width="6.5703125" customWidth="1"/>
    <col min="12034" max="12034" width="35.5703125" customWidth="1"/>
    <col min="12035" max="12035" width="17.42578125" customWidth="1"/>
    <col min="12036" max="12036" width="11.5703125" customWidth="1"/>
    <col min="12037" max="12037" width="12.7109375" customWidth="1"/>
    <col min="12038" max="12039" width="11.5703125" customWidth="1"/>
    <col min="12040" max="12040" width="13.7109375" customWidth="1"/>
    <col min="12041" max="12041" width="22.42578125" customWidth="1"/>
    <col min="12289" max="12289" width="6.5703125" customWidth="1"/>
    <col min="12290" max="12290" width="35.5703125" customWidth="1"/>
    <col min="12291" max="12291" width="17.42578125" customWidth="1"/>
    <col min="12292" max="12292" width="11.5703125" customWidth="1"/>
    <col min="12293" max="12293" width="12.7109375" customWidth="1"/>
    <col min="12294" max="12295" width="11.5703125" customWidth="1"/>
    <col min="12296" max="12296" width="13.7109375" customWidth="1"/>
    <col min="12297" max="12297" width="22.42578125" customWidth="1"/>
    <col min="12545" max="12545" width="6.5703125" customWidth="1"/>
    <col min="12546" max="12546" width="35.5703125" customWidth="1"/>
    <col min="12547" max="12547" width="17.42578125" customWidth="1"/>
    <col min="12548" max="12548" width="11.5703125" customWidth="1"/>
    <col min="12549" max="12549" width="12.7109375" customWidth="1"/>
    <col min="12550" max="12551" width="11.5703125" customWidth="1"/>
    <col min="12552" max="12552" width="13.7109375" customWidth="1"/>
    <col min="12553" max="12553" width="22.42578125" customWidth="1"/>
    <col min="12801" max="12801" width="6.5703125" customWidth="1"/>
    <col min="12802" max="12802" width="35.5703125" customWidth="1"/>
    <col min="12803" max="12803" width="17.42578125" customWidth="1"/>
    <col min="12804" max="12804" width="11.5703125" customWidth="1"/>
    <col min="12805" max="12805" width="12.7109375" customWidth="1"/>
    <col min="12806" max="12807" width="11.5703125" customWidth="1"/>
    <col min="12808" max="12808" width="13.7109375" customWidth="1"/>
    <col min="12809" max="12809" width="22.42578125" customWidth="1"/>
    <col min="13057" max="13057" width="6.5703125" customWidth="1"/>
    <col min="13058" max="13058" width="35.5703125" customWidth="1"/>
    <col min="13059" max="13059" width="17.42578125" customWidth="1"/>
    <col min="13060" max="13060" width="11.5703125" customWidth="1"/>
    <col min="13061" max="13061" width="12.7109375" customWidth="1"/>
    <col min="13062" max="13063" width="11.5703125" customWidth="1"/>
    <col min="13064" max="13064" width="13.7109375" customWidth="1"/>
    <col min="13065" max="13065" width="22.42578125" customWidth="1"/>
    <col min="13313" max="13313" width="6.5703125" customWidth="1"/>
    <col min="13314" max="13314" width="35.5703125" customWidth="1"/>
    <col min="13315" max="13315" width="17.42578125" customWidth="1"/>
    <col min="13316" max="13316" width="11.5703125" customWidth="1"/>
    <col min="13317" max="13317" width="12.7109375" customWidth="1"/>
    <col min="13318" max="13319" width="11.5703125" customWidth="1"/>
    <col min="13320" max="13320" width="13.7109375" customWidth="1"/>
    <col min="13321" max="13321" width="22.42578125" customWidth="1"/>
    <col min="13569" max="13569" width="6.5703125" customWidth="1"/>
    <col min="13570" max="13570" width="35.5703125" customWidth="1"/>
    <col min="13571" max="13571" width="17.42578125" customWidth="1"/>
    <col min="13572" max="13572" width="11.5703125" customWidth="1"/>
    <col min="13573" max="13573" width="12.7109375" customWidth="1"/>
    <col min="13574" max="13575" width="11.5703125" customWidth="1"/>
    <col min="13576" max="13576" width="13.7109375" customWidth="1"/>
    <col min="13577" max="13577" width="22.42578125" customWidth="1"/>
    <col min="13825" max="13825" width="6.5703125" customWidth="1"/>
    <col min="13826" max="13826" width="35.5703125" customWidth="1"/>
    <col min="13827" max="13827" width="17.42578125" customWidth="1"/>
    <col min="13828" max="13828" width="11.5703125" customWidth="1"/>
    <col min="13829" max="13829" width="12.7109375" customWidth="1"/>
    <col min="13830" max="13831" width="11.5703125" customWidth="1"/>
    <col min="13832" max="13832" width="13.7109375" customWidth="1"/>
    <col min="13833" max="13833" width="22.42578125" customWidth="1"/>
    <col min="14081" max="14081" width="6.5703125" customWidth="1"/>
    <col min="14082" max="14082" width="35.5703125" customWidth="1"/>
    <col min="14083" max="14083" width="17.42578125" customWidth="1"/>
    <col min="14084" max="14084" width="11.5703125" customWidth="1"/>
    <col min="14085" max="14085" width="12.7109375" customWidth="1"/>
    <col min="14086" max="14087" width="11.5703125" customWidth="1"/>
    <col min="14088" max="14088" width="13.7109375" customWidth="1"/>
    <col min="14089" max="14089" width="22.42578125" customWidth="1"/>
    <col min="14337" max="14337" width="6.5703125" customWidth="1"/>
    <col min="14338" max="14338" width="35.5703125" customWidth="1"/>
    <col min="14339" max="14339" width="17.42578125" customWidth="1"/>
    <col min="14340" max="14340" width="11.5703125" customWidth="1"/>
    <col min="14341" max="14341" width="12.7109375" customWidth="1"/>
    <col min="14342" max="14343" width="11.5703125" customWidth="1"/>
    <col min="14344" max="14344" width="13.7109375" customWidth="1"/>
    <col min="14345" max="14345" width="22.42578125" customWidth="1"/>
    <col min="14593" max="14593" width="6.5703125" customWidth="1"/>
    <col min="14594" max="14594" width="35.5703125" customWidth="1"/>
    <col min="14595" max="14595" width="17.42578125" customWidth="1"/>
    <col min="14596" max="14596" width="11.5703125" customWidth="1"/>
    <col min="14597" max="14597" width="12.7109375" customWidth="1"/>
    <col min="14598" max="14599" width="11.5703125" customWidth="1"/>
    <col min="14600" max="14600" width="13.7109375" customWidth="1"/>
    <col min="14601" max="14601" width="22.42578125" customWidth="1"/>
    <col min="14849" max="14849" width="6.5703125" customWidth="1"/>
    <col min="14850" max="14850" width="35.5703125" customWidth="1"/>
    <col min="14851" max="14851" width="17.42578125" customWidth="1"/>
    <col min="14852" max="14852" width="11.5703125" customWidth="1"/>
    <col min="14853" max="14853" width="12.7109375" customWidth="1"/>
    <col min="14854" max="14855" width="11.5703125" customWidth="1"/>
    <col min="14856" max="14856" width="13.7109375" customWidth="1"/>
    <col min="14857" max="14857" width="22.42578125" customWidth="1"/>
    <col min="15105" max="15105" width="6.5703125" customWidth="1"/>
    <col min="15106" max="15106" width="35.5703125" customWidth="1"/>
    <col min="15107" max="15107" width="17.42578125" customWidth="1"/>
    <col min="15108" max="15108" width="11.5703125" customWidth="1"/>
    <col min="15109" max="15109" width="12.7109375" customWidth="1"/>
    <col min="15110" max="15111" width="11.5703125" customWidth="1"/>
    <col min="15112" max="15112" width="13.7109375" customWidth="1"/>
    <col min="15113" max="15113" width="22.42578125" customWidth="1"/>
    <col min="15361" max="15361" width="6.5703125" customWidth="1"/>
    <col min="15362" max="15362" width="35.5703125" customWidth="1"/>
    <col min="15363" max="15363" width="17.42578125" customWidth="1"/>
    <col min="15364" max="15364" width="11.5703125" customWidth="1"/>
    <col min="15365" max="15365" width="12.7109375" customWidth="1"/>
    <col min="15366" max="15367" width="11.5703125" customWidth="1"/>
    <col min="15368" max="15368" width="13.7109375" customWidth="1"/>
    <col min="15369" max="15369" width="22.42578125" customWidth="1"/>
    <col min="15617" max="15617" width="6.5703125" customWidth="1"/>
    <col min="15618" max="15618" width="35.5703125" customWidth="1"/>
    <col min="15619" max="15619" width="17.42578125" customWidth="1"/>
    <col min="15620" max="15620" width="11.5703125" customWidth="1"/>
    <col min="15621" max="15621" width="12.7109375" customWidth="1"/>
    <col min="15622" max="15623" width="11.5703125" customWidth="1"/>
    <col min="15624" max="15624" width="13.7109375" customWidth="1"/>
    <col min="15625" max="15625" width="22.42578125" customWidth="1"/>
    <col min="15873" max="15873" width="6.5703125" customWidth="1"/>
    <col min="15874" max="15874" width="35.5703125" customWidth="1"/>
    <col min="15875" max="15875" width="17.42578125" customWidth="1"/>
    <col min="15876" max="15876" width="11.5703125" customWidth="1"/>
    <col min="15877" max="15877" width="12.7109375" customWidth="1"/>
    <col min="15878" max="15879" width="11.5703125" customWidth="1"/>
    <col min="15880" max="15880" width="13.7109375" customWidth="1"/>
    <col min="15881" max="15881" width="22.42578125" customWidth="1"/>
    <col min="16129" max="16129" width="6.5703125" customWidth="1"/>
    <col min="16130" max="16130" width="35.5703125" customWidth="1"/>
    <col min="16131" max="16131" width="17.42578125" customWidth="1"/>
    <col min="16132" max="16132" width="11.5703125" customWidth="1"/>
    <col min="16133" max="16133" width="12.7109375" customWidth="1"/>
    <col min="16134" max="16135" width="11.5703125" customWidth="1"/>
    <col min="16136" max="16136" width="13.7109375" customWidth="1"/>
    <col min="16137" max="16137" width="22.42578125" customWidth="1"/>
  </cols>
  <sheetData>
    <row r="1" spans="1:9" ht="18.75">
      <c r="A1" s="517" t="s">
        <v>193</v>
      </c>
      <c r="B1" s="517"/>
      <c r="C1" s="517"/>
      <c r="D1" s="517"/>
      <c r="E1" s="517"/>
      <c r="F1" s="517"/>
      <c r="G1" s="517"/>
      <c r="H1" s="517"/>
      <c r="I1" s="517"/>
    </row>
    <row r="2" spans="1:9" ht="18.75">
      <c r="A2" s="517" t="s">
        <v>194</v>
      </c>
      <c r="B2" s="517"/>
      <c r="C2" s="517"/>
      <c r="D2" s="517"/>
      <c r="E2" s="517"/>
      <c r="F2" s="517"/>
      <c r="G2" s="517"/>
      <c r="H2" s="517"/>
      <c r="I2" s="517"/>
    </row>
    <row r="3" spans="1:9" ht="18.75">
      <c r="A3" s="517" t="s">
        <v>351</v>
      </c>
      <c r="B3" s="517"/>
      <c r="C3" s="517"/>
      <c r="D3" s="517"/>
      <c r="E3" s="517"/>
      <c r="F3" s="517"/>
      <c r="G3" s="517"/>
      <c r="H3" s="517"/>
      <c r="I3" s="517"/>
    </row>
    <row r="4" spans="1:9">
      <c r="A4" s="518" t="str">
        <f>мз!A14</f>
        <v>Муниципальное бюджетное общеобразовательное учреждение "Гимназия во имя святителя Иннокентия Пензенского" г. Пензы</v>
      </c>
      <c r="B4" s="518"/>
      <c r="C4" s="518"/>
      <c r="D4" s="518"/>
      <c r="E4" s="518"/>
      <c r="F4" s="518"/>
      <c r="G4" s="518"/>
      <c r="H4" s="518"/>
      <c r="I4" s="518"/>
    </row>
    <row r="5" spans="1:9" ht="18" customHeight="1">
      <c r="A5" s="517"/>
      <c r="B5" s="517"/>
      <c r="C5" s="517"/>
      <c r="D5" s="517"/>
      <c r="E5" s="517"/>
    </row>
    <row r="6" spans="1:9" hidden="1"/>
    <row r="7" spans="1:9" s="130" customFormat="1" ht="30" customHeight="1">
      <c r="A7" s="519" t="s">
        <v>195</v>
      </c>
      <c r="B7" s="519" t="s">
        <v>196</v>
      </c>
      <c r="C7" s="519" t="s">
        <v>339</v>
      </c>
      <c r="D7" s="519" t="s">
        <v>197</v>
      </c>
      <c r="E7" s="519"/>
      <c r="F7" s="519" t="s">
        <v>198</v>
      </c>
      <c r="G7" s="519"/>
      <c r="H7" s="514" t="s">
        <v>199</v>
      </c>
      <c r="I7" s="515" t="s">
        <v>200</v>
      </c>
    </row>
    <row r="8" spans="1:9" ht="45">
      <c r="A8" s="519"/>
      <c r="B8" s="519"/>
      <c r="C8" s="519"/>
      <c r="D8" s="131" t="s">
        <v>201</v>
      </c>
      <c r="E8" s="131" t="s">
        <v>202</v>
      </c>
      <c r="F8" s="131" t="s">
        <v>201</v>
      </c>
      <c r="G8" s="131" t="s">
        <v>202</v>
      </c>
      <c r="H8" s="514"/>
      <c r="I8" s="516"/>
    </row>
    <row r="9" spans="1:9" ht="45">
      <c r="A9" s="132"/>
      <c r="B9" s="133" t="s">
        <v>203</v>
      </c>
      <c r="C9" s="134">
        <f>'проверка 2020'!C6</f>
        <v>11065441</v>
      </c>
      <c r="D9" s="134">
        <v>2320534</v>
      </c>
      <c r="E9" s="134">
        <f>D9</f>
        <v>2320534</v>
      </c>
      <c r="F9" s="134">
        <v>2260428.41</v>
      </c>
      <c r="G9" s="134">
        <f>F9</f>
        <v>2260428.41</v>
      </c>
      <c r="H9" s="134">
        <f t="shared" ref="H9:H15" si="0">D9-F9</f>
        <v>60105.589999999851</v>
      </c>
      <c r="I9" s="135"/>
    </row>
    <row r="10" spans="1:9" ht="45">
      <c r="A10" s="136">
        <f>A9+1</f>
        <v>1</v>
      </c>
      <c r="B10" s="131" t="s">
        <v>160</v>
      </c>
      <c r="C10" s="137">
        <f>C9-C11-C12-C13-C14-C15</f>
        <v>3853636.1691542286</v>
      </c>
      <c r="D10" s="137">
        <f t="shared" ref="D10:G10" si="1">D9-D11-D12-D13-D14-D15</f>
        <v>808146.16915422864</v>
      </c>
      <c r="E10" s="137">
        <f t="shared" si="1"/>
        <v>808146.16915422864</v>
      </c>
      <c r="F10" s="137">
        <f t="shared" si="1"/>
        <v>787213.87412935332</v>
      </c>
      <c r="G10" s="137">
        <f t="shared" si="1"/>
        <v>787213.87412935332</v>
      </c>
      <c r="H10" s="137">
        <f t="shared" si="0"/>
        <v>20932.295024875319</v>
      </c>
      <c r="I10" s="138"/>
    </row>
    <row r="11" spans="1:9" ht="45">
      <c r="A11" s="136">
        <f>A10+1</f>
        <v>2</v>
      </c>
      <c r="B11" s="131" t="s">
        <v>161</v>
      </c>
      <c r="C11" s="137">
        <f>'304'!C9/'проверка 2020'!$E$4*'проверка 2020'!$K$4</f>
        <v>5340038.6915422883</v>
      </c>
      <c r="D11" s="137">
        <f>'304'!D9/'проверка 2020'!$E$4*'проверка 2020'!$K$4</f>
        <v>1119859.6915422888</v>
      </c>
      <c r="E11" s="137">
        <f>'304'!E9/'проверка 2020'!$E$4*'проверка 2020'!$K$4</f>
        <v>1119859.6915422888</v>
      </c>
      <c r="F11" s="137">
        <f>'304'!F9/'проверка 2020'!$E$4*'проверка 2020'!$K$4</f>
        <v>1090853.5112935323</v>
      </c>
      <c r="G11" s="137">
        <f>'304'!G9/'проверка 2020'!$E$4*'проверка 2020'!$K$4</f>
        <v>1090853.5112935323</v>
      </c>
      <c r="H11" s="137">
        <f t="shared" si="0"/>
        <v>29006.180248756427</v>
      </c>
      <c r="I11" s="138"/>
    </row>
    <row r="12" spans="1:9" ht="45">
      <c r="A12" s="136">
        <f>A11+1</f>
        <v>3</v>
      </c>
      <c r="B12" s="131" t="s">
        <v>162</v>
      </c>
      <c r="C12" s="137">
        <f>C9/'проверка 2020'!$E$4*'проверка 2020'!$M$4</f>
        <v>1266194.7412935323</v>
      </c>
      <c r="D12" s="137">
        <f>D9/'проверка 2020'!$E$4*'проверка 2020'!$M$4</f>
        <v>265533.74129353237</v>
      </c>
      <c r="E12" s="137">
        <f>E9/'проверка 2020'!$E$4*'проверка 2020'!$M$4</f>
        <v>265533.74129353237</v>
      </c>
      <c r="F12" s="137">
        <f>F9/'проверка 2020'!$E$4*'проверка 2020'!$M$4</f>
        <v>258655.98721393035</v>
      </c>
      <c r="G12" s="137">
        <f>G9/'проверка 2020'!$E$4*'проверка 2020'!$M$4</f>
        <v>258655.98721393035</v>
      </c>
      <c r="H12" s="137">
        <f t="shared" si="0"/>
        <v>6877.7540796020185</v>
      </c>
      <c r="I12" s="138"/>
    </row>
    <row r="13" spans="1:9" ht="48.75" customHeight="1">
      <c r="A13" s="136">
        <f>A12+1</f>
        <v>4</v>
      </c>
      <c r="B13" s="131" t="s">
        <v>164</v>
      </c>
      <c r="C13" s="137">
        <f>C9/'проверка 2020'!$E$4*'проверка 2020'!$J$4</f>
        <v>165155.83582089553</v>
      </c>
      <c r="D13" s="137">
        <f>D9/'проверка 2020'!$E$4*'проверка 2020'!$J$4</f>
        <v>34634.835820895525</v>
      </c>
      <c r="E13" s="137">
        <f>E9/'проверка 2020'!$E$4*'проверка 2020'!$J$4</f>
        <v>34634.835820895525</v>
      </c>
      <c r="F13" s="137">
        <f>F9/'проверка 2020'!$E$4*'проверка 2020'!$J$4</f>
        <v>33737.737462686564</v>
      </c>
      <c r="G13" s="137">
        <f>G9/'проверка 2020'!$E$4*'проверка 2020'!$J$4</f>
        <v>33737.737462686564</v>
      </c>
      <c r="H13" s="137">
        <f t="shared" si="0"/>
        <v>897.09835820896114</v>
      </c>
      <c r="I13" s="138"/>
    </row>
    <row r="14" spans="1:9" ht="48.75" customHeight="1">
      <c r="A14" s="136">
        <v>5</v>
      </c>
      <c r="B14" s="131" t="s">
        <v>305</v>
      </c>
      <c r="C14" s="137">
        <f>C9/'проверка 2020'!$E$4*'проверка 2020'!$L$4</f>
        <v>440415.56218905473</v>
      </c>
      <c r="D14" s="137">
        <f>D9/'проверка 2020'!$E$4*'проверка 2020'!$L$4</f>
        <v>92359.562189054734</v>
      </c>
      <c r="E14" s="137">
        <f>E9/'проверка 2020'!$E$4*'проверка 2020'!$L$4</f>
        <v>92359.562189054734</v>
      </c>
      <c r="F14" s="137">
        <f>F9/'проверка 2020'!$E$4*'проверка 2020'!$L$4</f>
        <v>89967.299900497514</v>
      </c>
      <c r="G14" s="137">
        <f>G9/'проверка 2020'!$E$4*'проверка 2020'!$L$4</f>
        <v>89967.299900497514</v>
      </c>
      <c r="H14" s="137">
        <f t="shared" si="0"/>
        <v>2392.26228855722</v>
      </c>
      <c r="I14" s="138"/>
    </row>
    <row r="15" spans="1:9" ht="48.75" hidden="1" customHeight="1">
      <c r="A15" s="136"/>
      <c r="B15" s="131" t="s">
        <v>164</v>
      </c>
      <c r="C15" s="137">
        <f>C9/'проверка 2020'!$E$4*'проверка 2020'!$N$4</f>
        <v>0</v>
      </c>
      <c r="D15" s="137">
        <f>D9/'проверка 2020'!$E$4*'проверка 2020'!$N$4</f>
        <v>0</v>
      </c>
      <c r="E15" s="137">
        <f>E9/'проверка 2020'!$E$4*'проверка 2020'!$N$4</f>
        <v>0</v>
      </c>
      <c r="F15" s="137">
        <f>F9/'проверка 2020'!$E$4*'проверка 2020'!$N$4</f>
        <v>0</v>
      </c>
      <c r="G15" s="137">
        <f>G9/'проверка 2020'!$E$4*'проверка 2020'!$N$4</f>
        <v>0</v>
      </c>
      <c r="H15" s="137">
        <f t="shared" si="0"/>
        <v>0</v>
      </c>
      <c r="I15" s="138"/>
    </row>
    <row r="16" spans="1:9">
      <c r="D16" s="258" t="e">
        <f>D9+#REF!+#REF!</f>
        <v>#REF!</v>
      </c>
      <c r="E16" s="258" t="e">
        <f>E9+#REF!+#REF!</f>
        <v>#REF!</v>
      </c>
      <c r="F16" s="258" t="e">
        <f>F9+#REF!+#REF!</f>
        <v>#REF!</v>
      </c>
      <c r="G16" s="258" t="e">
        <f>G9+#REF!+#REF!</f>
        <v>#REF!</v>
      </c>
      <c r="H16" s="258" t="e">
        <f>H9+#REF!+#REF!</f>
        <v>#REF!</v>
      </c>
      <c r="I16" s="259"/>
    </row>
    <row r="17" spans="2:6">
      <c r="B17" t="s">
        <v>62</v>
      </c>
    </row>
    <row r="18" spans="2:6">
      <c r="B18" s="5" t="s">
        <v>347</v>
      </c>
      <c r="C18" s="59"/>
      <c r="D18" s="102" t="s">
        <v>349</v>
      </c>
      <c r="E18" s="470"/>
      <c r="F18" s="471"/>
    </row>
    <row r="19" spans="2:6">
      <c r="B19" s="56"/>
      <c r="C19" s="56"/>
      <c r="D19" s="56"/>
      <c r="E19" s="56"/>
      <c r="F19" s="4"/>
    </row>
    <row r="20" spans="2:6">
      <c r="B20" s="1" t="s">
        <v>348</v>
      </c>
      <c r="C20" s="56"/>
      <c r="D20" s="103" t="s">
        <v>350</v>
      </c>
      <c r="E20" s="470"/>
      <c r="F20" s="471"/>
    </row>
    <row r="21" spans="2:6">
      <c r="B21" s="160"/>
      <c r="C21" s="160"/>
      <c r="D21" s="160"/>
      <c r="E21" s="160"/>
      <c r="F21" s="160"/>
    </row>
    <row r="22" spans="2:6">
      <c r="B22" s="139"/>
      <c r="C22" s="139"/>
      <c r="D22" s="139"/>
      <c r="E22" s="139"/>
      <c r="F22" s="139"/>
    </row>
    <row r="23" spans="2:6">
      <c r="C23" t="s">
        <v>62</v>
      </c>
    </row>
  </sheetData>
  <mergeCells count="14">
    <mergeCell ref="E18:F18"/>
    <mergeCell ref="E20:F20"/>
    <mergeCell ref="H7:H8"/>
    <mergeCell ref="I7:I8"/>
    <mergeCell ref="A1:I1"/>
    <mergeCell ref="A2:I2"/>
    <mergeCell ref="A3:I3"/>
    <mergeCell ref="A4:I4"/>
    <mergeCell ref="A5:E5"/>
    <mergeCell ref="A7:A8"/>
    <mergeCell ref="B7:B8"/>
    <mergeCell ref="C7:C8"/>
    <mergeCell ref="D7:E7"/>
    <mergeCell ref="F7:G7"/>
  </mergeCells>
  <pageMargins left="0" right="0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topLeftCell="A59" zoomScaleNormal="100" zoomScaleSheetLayoutView="100" workbookViewId="0">
      <selection activeCell="G72" sqref="G72"/>
    </sheetView>
  </sheetViews>
  <sheetFormatPr defaultColWidth="9.140625" defaultRowHeight="12.75"/>
  <cols>
    <col min="1" max="1" width="18.140625" style="2" customWidth="1"/>
    <col min="2" max="2" width="14.140625" style="2" customWidth="1"/>
    <col min="3" max="3" width="15.42578125" style="2" customWidth="1"/>
    <col min="4" max="4" width="11.7109375" style="2" customWidth="1"/>
    <col min="5" max="5" width="12.140625" style="2" customWidth="1"/>
    <col min="6" max="6" width="13.140625" style="2" customWidth="1"/>
    <col min="7" max="7" width="12.7109375" style="2" customWidth="1"/>
    <col min="8" max="8" width="11.28515625" style="2" customWidth="1"/>
    <col min="9" max="9" width="10.28515625" style="2" customWidth="1"/>
    <col min="10" max="10" width="10" style="2" bestFit="1" customWidth="1"/>
    <col min="11" max="11" width="10" style="1" bestFit="1" customWidth="1"/>
    <col min="12" max="12" width="11.28515625" style="1" customWidth="1"/>
    <col min="13" max="13" width="9.140625" style="1"/>
    <col min="14" max="14" width="9.85546875" style="1" customWidth="1"/>
    <col min="15" max="17" width="9.140625" style="1"/>
    <col min="18" max="18" width="12" style="1" customWidth="1"/>
    <col min="19" max="16384" width="9.140625" style="1"/>
  </cols>
  <sheetData>
    <row r="1" spans="1:17">
      <c r="F1" s="447" t="s">
        <v>96</v>
      </c>
      <c r="G1" s="447"/>
    </row>
    <row r="2" spans="1:17" s="35" customFormat="1" ht="35.25" customHeight="1">
      <c r="A2" s="448" t="s">
        <v>95</v>
      </c>
      <c r="B2" s="448"/>
      <c r="C2" s="448"/>
      <c r="D2" s="448"/>
      <c r="E2" s="448"/>
      <c r="F2" s="448"/>
      <c r="G2" s="448"/>
      <c r="H2" s="36"/>
      <c r="I2" s="36"/>
      <c r="J2" s="36"/>
    </row>
    <row r="3" spans="1:17" ht="11.25" customHeight="1">
      <c r="A3" s="16"/>
      <c r="B3" s="16"/>
      <c r="C3" s="16"/>
      <c r="D3" s="16"/>
      <c r="E3" s="16"/>
      <c r="F3" s="449"/>
      <c r="G3" s="449"/>
    </row>
    <row r="4" spans="1:17" ht="48" customHeight="1">
      <c r="A4" s="450" t="s">
        <v>94</v>
      </c>
      <c r="B4" s="450"/>
      <c r="C4" s="450"/>
      <c r="D4" s="450"/>
      <c r="E4" s="450"/>
      <c r="F4" s="450"/>
      <c r="G4" s="450"/>
    </row>
    <row r="5" spans="1:17" ht="25.5">
      <c r="A5" s="114" t="s">
        <v>78</v>
      </c>
      <c r="B5" s="114" t="s">
        <v>59</v>
      </c>
      <c r="C5" s="114" t="s">
        <v>58</v>
      </c>
      <c r="D5" s="114" t="s">
        <v>57</v>
      </c>
      <c r="E5" s="114" t="s">
        <v>56</v>
      </c>
      <c r="F5" s="114" t="s">
        <v>55</v>
      </c>
      <c r="G5" s="114" t="s">
        <v>54</v>
      </c>
    </row>
    <row r="6" spans="1:17">
      <c r="A6" s="11">
        <f>M10</f>
        <v>0</v>
      </c>
      <c r="B6" s="11">
        <f>P10</f>
        <v>0</v>
      </c>
      <c r="C6" s="11">
        <f>Q10</f>
        <v>0</v>
      </c>
      <c r="D6" s="11"/>
      <c r="E6" s="11">
        <v>1</v>
      </c>
      <c r="F6" s="11">
        <f>ROUND((A6*B6*C6)*D6*E6,2)</f>
        <v>0</v>
      </c>
      <c r="G6" s="11">
        <f>ROUND(F6*30.2%,0)</f>
        <v>0</v>
      </c>
      <c r="K6" s="1" t="s">
        <v>93</v>
      </c>
    </row>
    <row r="7" spans="1:17">
      <c r="A7" s="11">
        <f>M14</f>
        <v>0</v>
      </c>
      <c r="B7" s="11">
        <f>P14</f>
        <v>0</v>
      </c>
      <c r="C7" s="11">
        <f>Q14</f>
        <v>0</v>
      </c>
      <c r="D7" s="11"/>
      <c r="E7" s="11">
        <v>1</v>
      </c>
      <c r="F7" s="11">
        <f>ROUND((A7*B7*C7)*D7*E7,2)</f>
        <v>0</v>
      </c>
      <c r="G7" s="11">
        <f>ROUND(F7*30.2%,0)</f>
        <v>0</v>
      </c>
      <c r="J7" s="2" t="s">
        <v>92</v>
      </c>
    </row>
    <row r="8" spans="1:17">
      <c r="A8" s="11"/>
      <c r="B8" s="11"/>
      <c r="C8" s="11"/>
      <c r="D8" s="11"/>
      <c r="E8" s="11"/>
      <c r="F8" s="11">
        <f>ROUND((A8*B8*C8)*D8*E8,2)</f>
        <v>0</v>
      </c>
      <c r="G8" s="11">
        <f>ROUND(F8*30.2%,2)</f>
        <v>0</v>
      </c>
      <c r="J8" s="315">
        <v>44197</v>
      </c>
      <c r="K8" s="23"/>
      <c r="L8" s="22" t="s">
        <v>84</v>
      </c>
      <c r="M8" s="22" t="s">
        <v>83</v>
      </c>
      <c r="N8" s="22" t="s">
        <v>82</v>
      </c>
      <c r="O8" s="22" t="s">
        <v>81</v>
      </c>
      <c r="P8" s="22"/>
      <c r="Q8" s="22"/>
    </row>
    <row r="9" spans="1:17">
      <c r="A9" s="11" t="s">
        <v>53</v>
      </c>
      <c r="B9" s="11"/>
      <c r="C9" s="11"/>
      <c r="D9" s="11"/>
      <c r="E9" s="11"/>
      <c r="F9" s="34">
        <f>F8+F7+F6</f>
        <v>0</v>
      </c>
      <c r="G9" s="34">
        <f>G8+G7+G6</f>
        <v>0</v>
      </c>
      <c r="J9" s="22">
        <v>1</v>
      </c>
      <c r="K9" s="23" t="s">
        <v>71</v>
      </c>
      <c r="L9" s="26">
        <v>106672.66</v>
      </c>
      <c r="M9" s="26">
        <v>5.8</v>
      </c>
      <c r="N9" s="22">
        <v>12430.26</v>
      </c>
      <c r="O9" s="26">
        <f>L9-N9</f>
        <v>94242.400000000009</v>
      </c>
      <c r="P9" s="22"/>
      <c r="Q9" s="22"/>
    </row>
    <row r="10" spans="1:17">
      <c r="J10" s="22"/>
      <c r="K10" s="22" t="s">
        <v>70</v>
      </c>
      <c r="L10" s="22">
        <f>O10+N10</f>
        <v>0</v>
      </c>
      <c r="M10" s="26">
        <v>0</v>
      </c>
      <c r="N10" s="26">
        <v>0</v>
      </c>
      <c r="O10" s="26">
        <v>0</v>
      </c>
      <c r="P10" s="22">
        <f>IF(M10=0,0,ROUND(N10/M10,2))</f>
        <v>0</v>
      </c>
      <c r="Q10" s="22">
        <f>IF(N10=0,0,O10/N10+1)</f>
        <v>0</v>
      </c>
    </row>
    <row r="11" spans="1:17" ht="28.5" customHeight="1" thickBot="1">
      <c r="A11" s="451" t="s">
        <v>91</v>
      </c>
      <c r="B11" s="451"/>
      <c r="C11" s="451"/>
      <c r="D11" s="451"/>
      <c r="E11" s="451"/>
      <c r="F11" s="451"/>
      <c r="G11" s="451"/>
      <c r="J11" s="22"/>
      <c r="K11" s="22" t="s">
        <v>69</v>
      </c>
      <c r="L11" s="22">
        <f>L9-L10</f>
        <v>106672.66</v>
      </c>
      <c r="M11" s="22">
        <f>M9-M10</f>
        <v>5.8</v>
      </c>
      <c r="N11" s="22">
        <f>N9-N10</f>
        <v>12430.26</v>
      </c>
      <c r="O11" s="22">
        <f>O9-O10</f>
        <v>94242.400000000009</v>
      </c>
      <c r="P11" s="22">
        <f>ROUND(N11/M11,2)</f>
        <v>2143.15</v>
      </c>
      <c r="Q11" s="22">
        <f>O11/N11+1</f>
        <v>8.5816917747496841</v>
      </c>
    </row>
    <row r="12" spans="1:17">
      <c r="A12" s="116" t="s">
        <v>90</v>
      </c>
      <c r="B12" s="105" t="s">
        <v>89</v>
      </c>
      <c r="C12" s="105" t="s">
        <v>77</v>
      </c>
      <c r="D12" s="445" t="s">
        <v>72</v>
      </c>
      <c r="E12" s="446"/>
      <c r="J12" s="23"/>
      <c r="K12" s="22"/>
      <c r="L12" s="22"/>
      <c r="M12" s="22"/>
      <c r="N12" s="22"/>
      <c r="O12" s="22"/>
      <c r="P12" s="22"/>
      <c r="Q12" s="22"/>
    </row>
    <row r="13" spans="1:17">
      <c r="A13" s="12"/>
      <c r="B13" s="11"/>
      <c r="C13" s="11"/>
      <c r="D13" s="452"/>
      <c r="E13" s="453"/>
      <c r="J13" s="23">
        <v>2</v>
      </c>
      <c r="K13" s="23" t="s">
        <v>71</v>
      </c>
      <c r="L13" s="26"/>
      <c r="M13" s="26"/>
      <c r="N13" s="22">
        <f>L13-O13</f>
        <v>0</v>
      </c>
      <c r="O13" s="26"/>
      <c r="P13" s="22"/>
      <c r="Q13" s="22"/>
    </row>
    <row r="14" spans="1:17" ht="13.5" thickBot="1">
      <c r="A14" s="10"/>
      <c r="B14" s="9"/>
      <c r="C14" s="9"/>
      <c r="D14" s="456"/>
      <c r="E14" s="457"/>
      <c r="J14" s="30"/>
      <c r="K14" s="22" t="s">
        <v>70</v>
      </c>
      <c r="L14" s="22">
        <f>O14+N14</f>
        <v>0</v>
      </c>
      <c r="M14" s="26">
        <v>0</v>
      </c>
      <c r="N14" s="26">
        <v>0</v>
      </c>
      <c r="O14" s="26">
        <v>0</v>
      </c>
      <c r="P14" s="22">
        <f>IF(M14=0,0,ROUND(N14/M14,2))</f>
        <v>0</v>
      </c>
      <c r="Q14" s="22">
        <f>IF(N14=0,0,O14/N14+1)</f>
        <v>0</v>
      </c>
    </row>
    <row r="15" spans="1:17">
      <c r="A15" s="32"/>
      <c r="B15" s="32"/>
      <c r="C15" s="32"/>
      <c r="D15" s="32"/>
      <c r="E15" s="32"/>
      <c r="J15" s="30"/>
      <c r="K15" s="22" t="s">
        <v>69</v>
      </c>
      <c r="L15" s="22">
        <f>L13-L14</f>
        <v>0</v>
      </c>
      <c r="M15" s="22">
        <f>M13-M14</f>
        <v>0</v>
      </c>
      <c r="N15" s="22">
        <f>N13-N14</f>
        <v>0</v>
      </c>
      <c r="O15" s="22">
        <f>O13-O14</f>
        <v>0</v>
      </c>
      <c r="P15" s="22" t="e">
        <f>ROUND(N15/M15,2)</f>
        <v>#DIV/0!</v>
      </c>
      <c r="Q15" s="22" t="e">
        <f>O15/N15+1</f>
        <v>#DIV/0!</v>
      </c>
    </row>
    <row r="16" spans="1:17">
      <c r="A16" s="32"/>
      <c r="B16" s="32"/>
      <c r="C16" s="32"/>
      <c r="D16" s="32"/>
      <c r="E16" s="32"/>
      <c r="J16" s="30"/>
      <c r="K16" s="22"/>
      <c r="L16" s="22"/>
      <c r="M16" s="26"/>
      <c r="N16" s="26"/>
      <c r="O16" s="26"/>
      <c r="P16" s="22"/>
      <c r="Q16" s="22"/>
    </row>
    <row r="17" spans="1:19">
      <c r="A17" s="32"/>
      <c r="B17" s="32"/>
      <c r="C17" s="32"/>
      <c r="D17" s="32"/>
      <c r="E17" s="32"/>
      <c r="J17" s="33">
        <v>3</v>
      </c>
      <c r="K17" s="23" t="s">
        <v>71</v>
      </c>
      <c r="L17" s="26"/>
      <c r="M17" s="26"/>
      <c r="N17" s="22">
        <f>L17-O17</f>
        <v>0</v>
      </c>
      <c r="O17" s="26"/>
      <c r="P17" s="22"/>
      <c r="Q17" s="22"/>
    </row>
    <row r="18" spans="1:19">
      <c r="J18" s="23"/>
      <c r="K18" s="22" t="s">
        <v>70</v>
      </c>
      <c r="L18" s="22">
        <f>O18+N18</f>
        <v>0</v>
      </c>
      <c r="M18" s="26">
        <v>0</v>
      </c>
      <c r="N18" s="26">
        <v>0</v>
      </c>
      <c r="O18" s="26">
        <v>0</v>
      </c>
      <c r="P18" s="22">
        <f>IF(M18=0,0,ROUND(N18/M18,2))</f>
        <v>0</v>
      </c>
      <c r="Q18" s="22">
        <f>IF(N18=0,0,O18/N18+1)</f>
        <v>0</v>
      </c>
    </row>
    <row r="19" spans="1:19" ht="45.75" customHeight="1" thickBot="1">
      <c r="A19" s="450" t="s">
        <v>88</v>
      </c>
      <c r="B19" s="450"/>
      <c r="C19" s="450"/>
      <c r="D19" s="450"/>
      <c r="E19" s="450"/>
      <c r="F19" s="450"/>
      <c r="G19" s="450"/>
      <c r="J19" s="23"/>
      <c r="K19" s="22" t="s">
        <v>69</v>
      </c>
      <c r="L19" s="22">
        <f>L17-L18</f>
        <v>0</v>
      </c>
      <c r="M19" s="22">
        <f>M17-M18</f>
        <v>0</v>
      </c>
      <c r="N19" s="22">
        <f>N17-N18</f>
        <v>0</v>
      </c>
      <c r="O19" s="22">
        <f>O17-O18</f>
        <v>0</v>
      </c>
      <c r="P19" s="22" t="e">
        <f>ROUND(N19/M19,2)</f>
        <v>#DIV/0!</v>
      </c>
      <c r="Q19" s="22" t="e">
        <f>O19/N19+1</f>
        <v>#DIV/0!</v>
      </c>
    </row>
    <row r="20" spans="1:19" ht="38.25">
      <c r="A20" s="113" t="s">
        <v>87</v>
      </c>
      <c r="B20" s="105" t="s">
        <v>86</v>
      </c>
      <c r="C20" s="105" t="s">
        <v>77</v>
      </c>
      <c r="D20" s="105" t="s">
        <v>55</v>
      </c>
      <c r="E20" s="106" t="s">
        <v>54</v>
      </c>
      <c r="J20" s="2" t="s">
        <v>85</v>
      </c>
    </row>
    <row r="21" spans="1:19">
      <c r="A21" s="12"/>
      <c r="B21" s="11"/>
      <c r="C21" s="11">
        <v>12</v>
      </c>
      <c r="D21" s="14"/>
      <c r="E21" s="14">
        <f>ROUND(D21*30.2%,0)</f>
        <v>0</v>
      </c>
      <c r="J21" s="315">
        <v>44197</v>
      </c>
      <c r="K21" s="23"/>
      <c r="L21" s="22" t="s">
        <v>84</v>
      </c>
      <c r="M21" s="22" t="s">
        <v>83</v>
      </c>
      <c r="N21" s="22" t="s">
        <v>82</v>
      </c>
      <c r="O21" s="22" t="s">
        <v>81</v>
      </c>
      <c r="P21" s="22" t="s">
        <v>80</v>
      </c>
      <c r="Q21" s="22"/>
    </row>
    <row r="22" spans="1:19">
      <c r="A22" s="12"/>
      <c r="B22" s="11"/>
      <c r="C22" s="11"/>
      <c r="D22" s="14">
        <f>ROUND(A22*B22*C22,2)</f>
        <v>0</v>
      </c>
      <c r="E22" s="14">
        <f>ROUND(D22*30.2%,0)</f>
        <v>0</v>
      </c>
      <c r="J22" s="22">
        <v>1</v>
      </c>
      <c r="K22" s="23" t="s">
        <v>71</v>
      </c>
      <c r="L22" s="26">
        <v>499491</v>
      </c>
      <c r="M22" s="26">
        <v>24.94</v>
      </c>
      <c r="N22" s="22">
        <f>L22-O22</f>
        <v>468874.56</v>
      </c>
      <c r="O22" s="26">
        <v>30616.44</v>
      </c>
      <c r="P22" s="26"/>
      <c r="Q22" s="22"/>
      <c r="R22" s="22"/>
    </row>
    <row r="23" spans="1:19">
      <c r="A23" s="12"/>
      <c r="B23" s="11"/>
      <c r="C23" s="11"/>
      <c r="D23" s="14">
        <f>ROUND(A23*B23*C23,2)</f>
        <v>0</v>
      </c>
      <c r="E23" s="14">
        <f>ROUND(D23*30.2%,0)</f>
        <v>0</v>
      </c>
      <c r="J23" s="22"/>
      <c r="K23" s="22" t="s">
        <v>70</v>
      </c>
      <c r="L23" s="22">
        <f>O23+N23</f>
        <v>348190.52</v>
      </c>
      <c r="M23" s="26">
        <v>18.440000000000001</v>
      </c>
      <c r="N23" s="26">
        <f>326541.75</f>
        <v>326541.75</v>
      </c>
      <c r="O23" s="26">
        <v>21648.77</v>
      </c>
      <c r="P23" s="26"/>
      <c r="Q23" s="22">
        <f>ROUND((N23+P23)/M23,2)</f>
        <v>17708.34</v>
      </c>
      <c r="R23" s="22">
        <f>(O23-P23)/(N23+P23)+1</f>
        <v>1.0662970967724648</v>
      </c>
    </row>
    <row r="24" spans="1:19">
      <c r="A24" s="12"/>
      <c r="B24" s="11"/>
      <c r="C24" s="11"/>
      <c r="D24" s="14">
        <f>ROUND(A24*B24*C24,2)</f>
        <v>0</v>
      </c>
      <c r="E24" s="14">
        <f>ROUND(D24*30.2%,0)</f>
        <v>0</v>
      </c>
      <c r="J24" s="22"/>
      <c r="K24" s="22" t="s">
        <v>69</v>
      </c>
      <c r="L24" s="22">
        <f>L22-L23</f>
        <v>151300.47999999998</v>
      </c>
      <c r="M24" s="22">
        <f>M22-M23</f>
        <v>6.5</v>
      </c>
      <c r="N24" s="22">
        <f>N22-N23</f>
        <v>142332.81</v>
      </c>
      <c r="O24" s="22">
        <f>O22-O23</f>
        <v>8967.6699999999983</v>
      </c>
      <c r="P24" s="22"/>
      <c r="Q24" s="22">
        <f>ROUND((N24+P24)/M24,2)</f>
        <v>21897.360000000001</v>
      </c>
      <c r="R24" s="22">
        <f>(O24-P24)/(N24+P24)+1</f>
        <v>1.063004938917457</v>
      </c>
    </row>
    <row r="25" spans="1:19" ht="13.5" thickBot="1">
      <c r="A25" s="10" t="s">
        <v>53</v>
      </c>
      <c r="B25" s="9"/>
      <c r="C25" s="9"/>
      <c r="D25" s="8">
        <f>D24+D22+D21+D23</f>
        <v>0</v>
      </c>
      <c r="E25" s="8">
        <f>E24+E22+E21+E23</f>
        <v>0</v>
      </c>
      <c r="J25" s="316">
        <v>44409</v>
      </c>
      <c r="K25" s="22"/>
      <c r="L25" s="22"/>
      <c r="M25" s="22"/>
      <c r="N25" s="22"/>
      <c r="O25" s="22"/>
      <c r="P25" s="22"/>
      <c r="Q25" s="22"/>
      <c r="R25" s="22"/>
    </row>
    <row r="26" spans="1:19" hidden="1">
      <c r="A26" s="32"/>
      <c r="B26" s="32"/>
      <c r="C26" s="32"/>
      <c r="D26" s="31"/>
      <c r="E26" s="31"/>
      <c r="J26" s="23"/>
      <c r="K26" s="22"/>
      <c r="L26" s="22"/>
      <c r="M26" s="22"/>
      <c r="N26" s="22"/>
      <c r="O26" s="22"/>
      <c r="P26" s="22"/>
      <c r="Q26" s="22"/>
      <c r="R26" s="22"/>
    </row>
    <row r="27" spans="1:19" hidden="1">
      <c r="A27" s="32"/>
      <c r="B27" s="32"/>
      <c r="C27" s="32"/>
      <c r="D27" s="31"/>
      <c r="E27" s="31"/>
      <c r="J27" s="23"/>
      <c r="K27" s="22"/>
      <c r="L27" s="22"/>
      <c r="M27" s="22"/>
      <c r="N27" s="22"/>
      <c r="O27" s="22"/>
      <c r="P27" s="22"/>
      <c r="Q27" s="22"/>
      <c r="R27" s="22"/>
    </row>
    <row r="28" spans="1:19" hidden="1">
      <c r="A28" s="32"/>
      <c r="B28" s="32"/>
      <c r="C28" s="32"/>
      <c r="D28" s="31"/>
      <c r="E28" s="31"/>
      <c r="J28" s="23"/>
      <c r="K28" s="22"/>
      <c r="L28" s="22"/>
      <c r="M28" s="22"/>
      <c r="N28" s="22"/>
      <c r="O28" s="22"/>
      <c r="P28" s="22"/>
      <c r="Q28" s="22"/>
      <c r="R28" s="22"/>
    </row>
    <row r="29" spans="1:19" hidden="1">
      <c r="A29" s="32"/>
      <c r="B29" s="32"/>
      <c r="C29" s="32"/>
      <c r="D29" s="31"/>
      <c r="E29" s="31"/>
      <c r="J29" s="23"/>
      <c r="K29" s="22"/>
      <c r="L29" s="22"/>
      <c r="M29" s="22"/>
      <c r="N29" s="22"/>
      <c r="O29" s="22"/>
      <c r="P29" s="22"/>
      <c r="Q29" s="22"/>
      <c r="R29" s="22"/>
    </row>
    <row r="30" spans="1:19">
      <c r="A30" s="1"/>
      <c r="J30" s="23">
        <v>2</v>
      </c>
      <c r="K30" s="23" t="s">
        <v>71</v>
      </c>
      <c r="L30" s="26">
        <f>499491+97716</f>
        <v>597207</v>
      </c>
      <c r="M30" s="26">
        <v>24.94</v>
      </c>
      <c r="N30" s="22">
        <f>L30-O30</f>
        <v>468874.56</v>
      </c>
      <c r="O30" s="26">
        <f>30616.44+97716</f>
        <v>128332.44</v>
      </c>
      <c r="P30" s="26"/>
      <c r="Q30" s="22"/>
      <c r="R30" s="22"/>
      <c r="S30" s="27"/>
    </row>
    <row r="31" spans="1:19" ht="24" customHeight="1" thickBot="1">
      <c r="A31" s="487" t="s">
        <v>79</v>
      </c>
      <c r="B31" s="487"/>
      <c r="C31" s="487"/>
      <c r="D31" s="487"/>
      <c r="E31" s="487"/>
      <c r="F31" s="487"/>
      <c r="G31" s="487"/>
      <c r="J31" s="30"/>
      <c r="K31" s="22" t="s">
        <v>70</v>
      </c>
      <c r="L31" s="22">
        <f>O31+N31</f>
        <v>445906.52</v>
      </c>
      <c r="M31" s="26">
        <v>18.440000000000001</v>
      </c>
      <c r="N31" s="26">
        <v>326541.75</v>
      </c>
      <c r="O31" s="26">
        <f>21648.77+97716</f>
        <v>119364.77</v>
      </c>
      <c r="P31" s="26"/>
      <c r="Q31" s="22">
        <f>ROUND((N31+P31)/M31,2)</f>
        <v>17708.34</v>
      </c>
      <c r="R31" s="28">
        <f>(O31-P31)/(N31+P31)+1</f>
        <v>1.3655421397110783</v>
      </c>
    </row>
    <row r="32" spans="1:19" ht="25.5">
      <c r="A32" s="113" t="s">
        <v>78</v>
      </c>
      <c r="B32" s="105" t="s">
        <v>59</v>
      </c>
      <c r="C32" s="105" t="s">
        <v>58</v>
      </c>
      <c r="D32" s="105" t="s">
        <v>77</v>
      </c>
      <c r="E32" s="105" t="s">
        <v>56</v>
      </c>
      <c r="F32" s="105" t="s">
        <v>55</v>
      </c>
      <c r="G32" s="106" t="s">
        <v>54</v>
      </c>
      <c r="H32" s="24"/>
      <c r="J32" s="23"/>
      <c r="K32" s="22" t="s">
        <v>69</v>
      </c>
      <c r="L32" s="22">
        <f>L30-L31</f>
        <v>151300.47999999998</v>
      </c>
      <c r="M32" s="22">
        <f>M30-M31</f>
        <v>6.5</v>
      </c>
      <c r="N32" s="22">
        <f>N30-N31</f>
        <v>142332.81</v>
      </c>
      <c r="O32" s="22">
        <f>O30-O31</f>
        <v>8967.6699999999983</v>
      </c>
      <c r="P32" s="22">
        <f>P30-P31</f>
        <v>0</v>
      </c>
      <c r="Q32" s="22">
        <f>ROUND((N32+P32)/M32,2)</f>
        <v>21897.360000000001</v>
      </c>
      <c r="R32" s="22">
        <f>(O32-P32)/(N32+P32)+1</f>
        <v>1.063004938917457</v>
      </c>
    </row>
    <row r="33" spans="1:19">
      <c r="A33" s="12">
        <f>M23</f>
        <v>18.440000000000001</v>
      </c>
      <c r="B33" s="121">
        <f>Q23</f>
        <v>17708.34</v>
      </c>
      <c r="C33" s="121">
        <f>R23</f>
        <v>1.0662970967724648</v>
      </c>
      <c r="D33" s="121">
        <v>7</v>
      </c>
      <c r="E33" s="121">
        <v>1</v>
      </c>
      <c r="F33" s="14">
        <f>ROUND((A33*B33*C33)*D33*E33,0)-2</f>
        <v>2437332</v>
      </c>
      <c r="G33" s="13">
        <f>ROUND(F33*30.2%,0)</f>
        <v>736074</v>
      </c>
      <c r="H33" s="24">
        <f>A33*B33*C33+B84*C84*D84</f>
        <v>511129.57503014</v>
      </c>
      <c r="I33" s="2">
        <f>H33*8+H34*4</f>
        <v>6477864.9441035874</v>
      </c>
      <c r="J33" s="316">
        <v>44440</v>
      </c>
      <c r="K33" s="22"/>
      <c r="L33" s="22"/>
      <c r="M33" s="22"/>
      <c r="N33" s="22"/>
      <c r="O33" s="22"/>
      <c r="P33" s="22"/>
      <c r="Q33" s="22"/>
      <c r="R33" s="22"/>
    </row>
    <row r="34" spans="1:19">
      <c r="A34" s="12">
        <f>M31</f>
        <v>18.440000000000001</v>
      </c>
      <c r="B34" s="121">
        <f>Q31</f>
        <v>17708.34</v>
      </c>
      <c r="C34" s="29">
        <f>R31</f>
        <v>1.3655421397110783</v>
      </c>
      <c r="D34" s="121">
        <v>1</v>
      </c>
      <c r="E34" s="121">
        <v>1</v>
      </c>
      <c r="F34" s="178">
        <f t="shared" ref="F34:F35" si="0">ROUND((A34*B34*C34)*D34*E34,0)</f>
        <v>445907</v>
      </c>
      <c r="G34" s="13">
        <f t="shared" ref="G34:G36" si="1">ROUND(F34*30.2%,0)</f>
        <v>134664</v>
      </c>
      <c r="H34" s="24">
        <f>A34*B34*C34+A85*B85*C85</f>
        <v>597207.08596561686</v>
      </c>
      <c r="J34" s="23">
        <v>3</v>
      </c>
      <c r="K34" s="23" t="s">
        <v>71</v>
      </c>
      <c r="L34" s="26">
        <v>498391</v>
      </c>
      <c r="M34" s="26">
        <v>24.94</v>
      </c>
      <c r="N34" s="22">
        <f>L34-O34</f>
        <v>468874.56</v>
      </c>
      <c r="O34" s="26">
        <f>30616.44-1100</f>
        <v>29516.44</v>
      </c>
      <c r="P34" s="26"/>
      <c r="Q34" s="22"/>
      <c r="R34" s="22"/>
      <c r="S34" s="27">
        <f>L30-L34</f>
        <v>98816</v>
      </c>
    </row>
    <row r="35" spans="1:19">
      <c r="A35" s="12">
        <f>M35</f>
        <v>18.440000000000001</v>
      </c>
      <c r="B35" s="121">
        <f>Q35</f>
        <v>17708.34</v>
      </c>
      <c r="C35" s="29">
        <f>R35</f>
        <v>1.0629284616745025</v>
      </c>
      <c r="D35" s="121">
        <v>3</v>
      </c>
      <c r="E35" s="121">
        <v>1</v>
      </c>
      <c r="F35" s="178">
        <f t="shared" si="0"/>
        <v>1041272</v>
      </c>
      <c r="G35" s="13">
        <f t="shared" si="1"/>
        <v>314464</v>
      </c>
      <c r="H35" s="24"/>
      <c r="I35" s="24"/>
      <c r="J35" s="30"/>
      <c r="K35" s="22" t="s">
        <v>70</v>
      </c>
      <c r="L35" s="22">
        <f>O35+N35</f>
        <v>347090.52</v>
      </c>
      <c r="M35" s="26">
        <v>18.440000000000001</v>
      </c>
      <c r="N35" s="26">
        <v>326541.75</v>
      </c>
      <c r="O35" s="26">
        <f>21648.77-1100</f>
        <v>20548.77</v>
      </c>
      <c r="P35" s="26"/>
      <c r="Q35" s="22">
        <f>ROUND((N35+P35)/M35,2)</f>
        <v>17708.34</v>
      </c>
      <c r="R35" s="28">
        <f>(O35-P35)/(N35+P35)+1</f>
        <v>1.0629284616745025</v>
      </c>
      <c r="S35" s="1">
        <f>ROUND(S34/1.35,2)</f>
        <v>73197.039999999994</v>
      </c>
    </row>
    <row r="36" spans="1:19">
      <c r="A36" s="12">
        <f>M41</f>
        <v>18.440000000000001</v>
      </c>
      <c r="B36" s="179">
        <f>Q41</f>
        <v>8298.65</v>
      </c>
      <c r="C36" s="29">
        <f>R41</f>
        <v>1</v>
      </c>
      <c r="D36" s="121">
        <v>1</v>
      </c>
      <c r="E36" s="121">
        <v>1</v>
      </c>
      <c r="F36" s="14">
        <f>ROUND((A36*B36*C36)*D36*E36,0)</f>
        <v>153027</v>
      </c>
      <c r="G36" s="13">
        <f t="shared" si="1"/>
        <v>46214</v>
      </c>
      <c r="H36" s="24"/>
      <c r="J36" s="23"/>
      <c r="K36" s="22" t="s">
        <v>69</v>
      </c>
      <c r="L36" s="22">
        <f>L34-L35</f>
        <v>151300.47999999998</v>
      </c>
      <c r="M36" s="22">
        <f>M34-M35</f>
        <v>6.5</v>
      </c>
      <c r="N36" s="22">
        <f>N34-N35</f>
        <v>142332.81</v>
      </c>
      <c r="O36" s="22">
        <f>O34-O35</f>
        <v>8967.6699999999983</v>
      </c>
      <c r="P36" s="22">
        <f>P34-P35</f>
        <v>0</v>
      </c>
      <c r="Q36" s="22">
        <f>ROUND((N36+P36)/M36,2)</f>
        <v>21897.360000000001</v>
      </c>
      <c r="R36" s="22">
        <f>(O36-P36)/(N36+P36)+1</f>
        <v>1.063004938917457</v>
      </c>
    </row>
    <row r="37" spans="1:19">
      <c r="A37" s="12"/>
      <c r="B37" s="121"/>
      <c r="C37" s="121"/>
      <c r="D37" s="121"/>
      <c r="E37" s="121"/>
      <c r="F37" s="14">
        <f>ROUND((A37*B37*C37)*D37*E37,2)</f>
        <v>0</v>
      </c>
      <c r="G37" s="13">
        <f>ROUND(F37*30.2%,0)</f>
        <v>0</v>
      </c>
      <c r="H37" s="24"/>
      <c r="J37" s="23"/>
      <c r="K37" s="23"/>
      <c r="L37" s="23"/>
      <c r="M37" s="22"/>
      <c r="N37" s="22"/>
      <c r="O37" s="22"/>
      <c r="P37" s="22"/>
      <c r="Q37" s="22"/>
      <c r="R37" s="22"/>
    </row>
    <row r="38" spans="1:19" ht="13.5" thickBot="1">
      <c r="A38" s="10" t="s">
        <v>53</v>
      </c>
      <c r="B38" s="122"/>
      <c r="C38" s="122"/>
      <c r="D38" s="122"/>
      <c r="E38" s="122"/>
      <c r="F38" s="8">
        <f>SUM(F33:F37)</f>
        <v>4077538</v>
      </c>
      <c r="G38" s="7">
        <f>SUM(G33:G37)</f>
        <v>1231416</v>
      </c>
      <c r="H38" s="24"/>
      <c r="J38" s="23"/>
      <c r="K38" s="22" t="s">
        <v>69</v>
      </c>
      <c r="L38" s="22">
        <f>L36-L37</f>
        <v>151300.47999999998</v>
      </c>
      <c r="M38" s="22">
        <f>M36-M37</f>
        <v>6.5</v>
      </c>
      <c r="N38" s="22">
        <f>N36-N37</f>
        <v>142332.81</v>
      </c>
      <c r="O38" s="22">
        <f>O36-O37</f>
        <v>8967.6699999999983</v>
      </c>
      <c r="P38" s="22">
        <f>P36-P37</f>
        <v>0</v>
      </c>
      <c r="Q38" s="22">
        <f>ROUND((N38+P38)/M38,2)</f>
        <v>21897.360000000001</v>
      </c>
      <c r="R38" s="22">
        <f>(O38-P38)/(N38+P38)+1</f>
        <v>1.063004938917457</v>
      </c>
    </row>
    <row r="39" spans="1:19">
      <c r="H39" s="24"/>
      <c r="J39" s="316">
        <v>44531</v>
      </c>
      <c r="K39" s="22"/>
      <c r="L39" s="22"/>
      <c r="M39" s="22"/>
      <c r="N39" s="22"/>
      <c r="O39" s="22"/>
      <c r="P39" s="22"/>
      <c r="Q39" s="22"/>
      <c r="R39" s="22"/>
      <c r="S39" s="27"/>
    </row>
    <row r="40" spans="1:19" ht="25.5" customHeight="1" thickBot="1">
      <c r="A40" s="488" t="s">
        <v>76</v>
      </c>
      <c r="B40" s="488"/>
      <c r="C40" s="488"/>
      <c r="D40" s="488"/>
      <c r="E40" s="488"/>
      <c r="F40" s="488"/>
      <c r="G40" s="488"/>
      <c r="J40" s="23">
        <v>4</v>
      </c>
      <c r="K40" s="23" t="s">
        <v>71</v>
      </c>
      <c r="L40" s="26">
        <v>249194</v>
      </c>
      <c r="M40" s="26">
        <v>24.94</v>
      </c>
      <c r="N40" s="22">
        <f>L40-O40</f>
        <v>249194</v>
      </c>
      <c r="O40" s="26"/>
      <c r="P40" s="26"/>
      <c r="Q40" s="22"/>
      <c r="R40" s="22"/>
    </row>
    <row r="41" spans="1:19">
      <c r="A41" s="115" t="s">
        <v>75</v>
      </c>
      <c r="B41" s="235" t="s">
        <v>74</v>
      </c>
      <c r="C41" s="105" t="s">
        <v>73</v>
      </c>
      <c r="D41" s="458" t="s">
        <v>72</v>
      </c>
      <c r="E41" s="459"/>
      <c r="G41" s="24"/>
      <c r="J41" s="23"/>
      <c r="K41" s="22" t="s">
        <v>70</v>
      </c>
      <c r="L41" s="22">
        <f>O41+N41</f>
        <v>153027.04999999999</v>
      </c>
      <c r="M41" s="26">
        <v>18.440000000000001</v>
      </c>
      <c r="N41" s="26">
        <v>153027.04999999999</v>
      </c>
      <c r="O41" s="26"/>
      <c r="P41" s="26"/>
      <c r="Q41" s="22">
        <f>ROUND((N41+P41)/M41,2)</f>
        <v>8298.65</v>
      </c>
      <c r="R41" s="28">
        <f>(O41-P41)/(N41+P41)+1</f>
        <v>1</v>
      </c>
    </row>
    <row r="42" spans="1:19">
      <c r="A42" s="25">
        <v>226</v>
      </c>
      <c r="B42" s="20">
        <v>37.35</v>
      </c>
      <c r="C42" s="233">
        <f>ROUND(D42/B42,0)</f>
        <v>233</v>
      </c>
      <c r="D42" s="454">
        <f>'проверка 2020'!C10</f>
        <v>8708</v>
      </c>
      <c r="E42" s="455"/>
      <c r="F42" s="2" t="s">
        <v>158</v>
      </c>
      <c r="G42" s="24"/>
      <c r="J42" s="23"/>
      <c r="K42" s="22" t="s">
        <v>69</v>
      </c>
      <c r="L42" s="22">
        <f>L40-L41</f>
        <v>96166.950000000012</v>
      </c>
      <c r="M42" s="22">
        <f>M40-M41</f>
        <v>6.5</v>
      </c>
      <c r="N42" s="22">
        <f>N40-N41</f>
        <v>96166.950000000012</v>
      </c>
      <c r="O42" s="22">
        <f>O40-O41</f>
        <v>0</v>
      </c>
      <c r="P42" s="22">
        <f>P40-P41</f>
        <v>0</v>
      </c>
      <c r="Q42" s="22">
        <f>ROUND((N42+P42)/M42,2)</f>
        <v>14794.92</v>
      </c>
      <c r="R42" s="22">
        <f>(O42-P42)/(N42+P42)+1</f>
        <v>1</v>
      </c>
    </row>
    <row r="43" spans="1:19">
      <c r="A43" s="25">
        <v>226</v>
      </c>
      <c r="B43" s="20" t="e">
        <f>ROUND(D43/C43,2)</f>
        <v>#REF!</v>
      </c>
      <c r="C43" s="233" t="e">
        <f>#REF!</f>
        <v>#REF!</v>
      </c>
      <c r="D43" s="454">
        <f>'проверка 2020'!C11</f>
        <v>34000</v>
      </c>
      <c r="E43" s="455"/>
      <c r="G43" s="24"/>
      <c r="J43" s="1"/>
    </row>
    <row r="44" spans="1:19">
      <c r="A44" s="25">
        <v>221</v>
      </c>
      <c r="B44" s="20" t="e">
        <f>ROUND(D44/C44,2)</f>
        <v>#REF!</v>
      </c>
      <c r="C44" s="233" t="e">
        <f>#REF!</f>
        <v>#REF!</v>
      </c>
      <c r="D44" s="454">
        <f>'проверка 2020'!C9</f>
        <v>60000</v>
      </c>
      <c r="E44" s="455"/>
      <c r="G44" s="24"/>
      <c r="J44" s="23">
        <v>3</v>
      </c>
      <c r="K44" s="23" t="s">
        <v>71</v>
      </c>
      <c r="L44" s="26"/>
      <c r="M44" s="26"/>
      <c r="N44" s="22">
        <f>L44-O44</f>
        <v>0</v>
      </c>
      <c r="O44" s="26"/>
      <c r="P44" s="26"/>
      <c r="Q44" s="22"/>
      <c r="R44" s="22"/>
    </row>
    <row r="45" spans="1:19">
      <c r="A45" s="21">
        <v>310</v>
      </c>
      <c r="B45" s="20" t="e">
        <f t="shared" ref="B45:B47" si="2">ROUND(D45/C45,2)</f>
        <v>#REF!</v>
      </c>
      <c r="C45" s="233" t="e">
        <f>#REF!</f>
        <v>#REF!</v>
      </c>
      <c r="D45" s="454">
        <f>'проверка 2020'!C12</f>
        <v>10000</v>
      </c>
      <c r="E45" s="455"/>
      <c r="J45" s="23"/>
      <c r="K45" s="22" t="s">
        <v>70</v>
      </c>
      <c r="L45" s="22">
        <f>O45+N45</f>
        <v>0</v>
      </c>
      <c r="M45" s="26"/>
      <c r="N45" s="26"/>
      <c r="O45" s="26"/>
      <c r="P45" s="26"/>
      <c r="Q45" s="22"/>
      <c r="R45" s="22"/>
    </row>
    <row r="46" spans="1:19">
      <c r="A46" s="21">
        <v>310</v>
      </c>
      <c r="B46" s="20" t="e">
        <f>ROUND(D46/C45,2)</f>
        <v>#REF!</v>
      </c>
      <c r="C46" s="233" t="e">
        <f>#REF!</f>
        <v>#REF!</v>
      </c>
      <c r="D46" s="454">
        <f>'проверка 2020'!C13</f>
        <v>195440</v>
      </c>
      <c r="E46" s="455"/>
      <c r="J46" s="23"/>
      <c r="K46" s="22"/>
      <c r="L46" s="22"/>
      <c r="M46" s="26"/>
      <c r="N46" s="26"/>
      <c r="O46" s="26"/>
      <c r="P46" s="26"/>
      <c r="Q46" s="22"/>
      <c r="R46" s="22"/>
    </row>
    <row r="47" spans="1:19" ht="15.75" customHeight="1" thickBot="1">
      <c r="A47" s="19">
        <v>340</v>
      </c>
      <c r="B47" s="243" t="e">
        <f t="shared" si="2"/>
        <v>#REF!</v>
      </c>
      <c r="C47" s="234" t="e">
        <f>#REF!</f>
        <v>#REF!</v>
      </c>
      <c r="D47" s="472">
        <f>'проверка 2020'!C14</f>
        <v>3690</v>
      </c>
      <c r="E47" s="473"/>
      <c r="F47" s="260"/>
      <c r="J47" s="23"/>
      <c r="K47" s="22" t="s">
        <v>69</v>
      </c>
      <c r="L47" s="22">
        <f>L44-L45</f>
        <v>0</v>
      </c>
      <c r="M47" s="22">
        <f>M44-M45</f>
        <v>0</v>
      </c>
      <c r="N47" s="22">
        <f>N44-N45</f>
        <v>0</v>
      </c>
      <c r="O47" s="22">
        <f>O44-O45</f>
        <v>0</v>
      </c>
      <c r="P47" s="22">
        <f>P44-P45</f>
        <v>0</v>
      </c>
      <c r="Q47" s="22"/>
      <c r="R47" s="22"/>
    </row>
    <row r="48" spans="1:19" ht="16.5" customHeight="1">
      <c r="A48" s="54"/>
      <c r="B48" s="177"/>
      <c r="C48" s="32"/>
      <c r="D48" s="32"/>
      <c r="E48" s="32"/>
      <c r="J48" s="18"/>
      <c r="K48" s="17"/>
      <c r="L48" s="197"/>
      <c r="M48" s="17"/>
      <c r="N48" s="17"/>
      <c r="O48" s="17"/>
      <c r="P48" s="17"/>
      <c r="Q48" s="17"/>
      <c r="R48" s="17"/>
    </row>
    <row r="49" spans="1:18" ht="45" customHeight="1" thickBot="1">
      <c r="A49" s="460" t="s">
        <v>212</v>
      </c>
      <c r="B49" s="460"/>
      <c r="C49" s="460"/>
      <c r="D49" s="460"/>
      <c r="E49" s="460"/>
      <c r="F49" s="460"/>
      <c r="G49" s="460"/>
      <c r="J49" s="18"/>
      <c r="K49" s="17"/>
      <c r="L49" s="197"/>
      <c r="M49" s="17"/>
      <c r="N49" s="17"/>
      <c r="O49" s="17"/>
      <c r="P49" s="17"/>
      <c r="Q49" s="17"/>
      <c r="R49" s="17"/>
    </row>
    <row r="50" spans="1:18" ht="15.75" customHeight="1">
      <c r="A50" s="174" t="s">
        <v>75</v>
      </c>
      <c r="B50" s="461" t="s">
        <v>90</v>
      </c>
      <c r="C50" s="462"/>
      <c r="D50" s="463" t="s">
        <v>72</v>
      </c>
      <c r="E50" s="464"/>
      <c r="J50" s="18"/>
      <c r="K50" s="17"/>
      <c r="L50" s="17"/>
      <c r="M50" s="17"/>
      <c r="N50" s="17"/>
      <c r="O50" s="17"/>
      <c r="P50" s="17"/>
      <c r="Q50" s="17"/>
      <c r="R50" s="17"/>
    </row>
    <row r="51" spans="1:18" ht="15.75" customHeight="1">
      <c r="A51" s="175">
        <v>226</v>
      </c>
      <c r="B51" s="465">
        <f>'проверка 2020'!C15</f>
        <v>0</v>
      </c>
      <c r="C51" s="466"/>
      <c r="D51" s="467"/>
      <c r="E51" s="453"/>
      <c r="J51" s="18"/>
      <c r="K51" s="17"/>
      <c r="L51" s="17"/>
      <c r="M51" s="17"/>
      <c r="N51" s="17"/>
      <c r="O51" s="17"/>
      <c r="P51" s="17"/>
      <c r="Q51" s="17"/>
      <c r="R51" s="17"/>
    </row>
    <row r="52" spans="1:18" ht="13.5" thickBot="1">
      <c r="A52" s="176">
        <v>340</v>
      </c>
      <c r="B52" s="468">
        <f>'проверка 2020'!C16</f>
        <v>0</v>
      </c>
      <c r="C52" s="469"/>
      <c r="D52" s="485">
        <f>'проверка 2020'!C16-D97</f>
        <v>0</v>
      </c>
      <c r="E52" s="486"/>
      <c r="J52" s="18"/>
      <c r="K52" s="17"/>
      <c r="L52" s="17"/>
      <c r="M52" s="17"/>
      <c r="N52" s="17"/>
      <c r="O52" s="17"/>
      <c r="P52" s="17"/>
      <c r="Q52" s="17"/>
      <c r="R52" s="17"/>
    </row>
    <row r="53" spans="1:18" ht="15.75" customHeight="1">
      <c r="A53" s="54"/>
      <c r="B53" s="177"/>
      <c r="C53" s="32"/>
      <c r="D53" s="32"/>
      <c r="E53" s="32"/>
      <c r="J53" s="18"/>
      <c r="K53" s="17"/>
      <c r="L53" s="17"/>
      <c r="M53" s="17"/>
      <c r="N53" s="17"/>
      <c r="O53" s="17"/>
      <c r="P53" s="17"/>
      <c r="Q53" s="17"/>
      <c r="R53" s="17"/>
    </row>
    <row r="54" spans="1:18">
      <c r="J54" s="18"/>
      <c r="K54" s="17"/>
      <c r="L54" s="17"/>
      <c r="M54" s="17"/>
      <c r="N54" s="17"/>
      <c r="O54" s="17"/>
      <c r="P54" s="17"/>
      <c r="Q54" s="17"/>
      <c r="R54" s="17"/>
    </row>
    <row r="55" spans="1:18" hidden="1">
      <c r="J55" s="18"/>
      <c r="K55" s="17"/>
      <c r="L55" s="17"/>
      <c r="M55" s="123">
        <f>'проверка 2020'!C7-'пр.1+2 '!L55</f>
        <v>5838011</v>
      </c>
      <c r="N55" s="17"/>
      <c r="O55" s="17"/>
      <c r="P55" s="17"/>
      <c r="Q55" s="17"/>
      <c r="R55" s="17"/>
    </row>
    <row r="56" spans="1:18" ht="15">
      <c r="A56" s="5" t="s">
        <v>347</v>
      </c>
      <c r="B56" s="59"/>
      <c r="C56" s="102" t="s">
        <v>349</v>
      </c>
      <c r="D56" s="470"/>
      <c r="E56" s="471"/>
      <c r="F56" s="5"/>
      <c r="G56" s="3"/>
      <c r="J56" s="18"/>
      <c r="K56" s="17"/>
      <c r="L56" s="17"/>
      <c r="M56" s="17"/>
      <c r="N56" s="17"/>
      <c r="O56" s="17"/>
      <c r="P56" s="17"/>
      <c r="Q56" s="17"/>
      <c r="R56" s="17"/>
    </row>
    <row r="57" spans="1:18">
      <c r="A57" s="56"/>
      <c r="B57" s="56"/>
      <c r="C57" s="56"/>
      <c r="D57" s="56"/>
      <c r="E57" s="4"/>
      <c r="F57" s="1"/>
      <c r="G57" s="3"/>
    </row>
    <row r="58" spans="1:18" ht="15">
      <c r="A58" s="1" t="s">
        <v>348</v>
      </c>
      <c r="B58" s="56"/>
      <c r="C58" s="103" t="s">
        <v>350</v>
      </c>
      <c r="D58" s="470"/>
      <c r="E58" s="471"/>
      <c r="F58" s="1"/>
      <c r="G58" s="3"/>
    </row>
    <row r="59" spans="1:18">
      <c r="J59" s="24"/>
    </row>
    <row r="60" spans="1:18">
      <c r="A60" s="5"/>
      <c r="B60" s="5"/>
      <c r="C60" s="5"/>
      <c r="D60" s="5"/>
      <c r="E60" s="6"/>
    </row>
    <row r="61" spans="1:18">
      <c r="A61" s="5"/>
      <c r="B61" s="1"/>
      <c r="C61" s="1"/>
      <c r="D61" s="1"/>
      <c r="E61" s="4"/>
    </row>
    <row r="62" spans="1:18">
      <c r="A62" s="1"/>
      <c r="B62" s="1"/>
      <c r="C62" s="1"/>
      <c r="D62" s="1"/>
      <c r="E62" s="4"/>
    </row>
    <row r="63" spans="1:18">
      <c r="F63" s="447" t="s">
        <v>68</v>
      </c>
      <c r="G63" s="447"/>
    </row>
    <row r="64" spans="1:18" ht="37.5" customHeight="1">
      <c r="A64" s="448" t="s">
        <v>67</v>
      </c>
      <c r="B64" s="448"/>
      <c r="C64" s="448"/>
      <c r="D64" s="448"/>
      <c r="E64" s="448"/>
      <c r="F64" s="448"/>
      <c r="G64" s="448"/>
    </row>
    <row r="65" spans="1:10" ht="20.25">
      <c r="A65" s="16"/>
      <c r="B65" s="16"/>
      <c r="C65" s="16"/>
      <c r="D65" s="16"/>
      <c r="E65" s="16"/>
      <c r="F65" s="16"/>
      <c r="G65" s="16"/>
    </row>
    <row r="66" spans="1:10" ht="49.5" customHeight="1">
      <c r="A66" s="450" t="s">
        <v>66</v>
      </c>
      <c r="B66" s="450"/>
      <c r="C66" s="450"/>
      <c r="D66" s="450"/>
      <c r="E66" s="450"/>
      <c r="F66" s="450"/>
      <c r="G66" s="450"/>
    </row>
    <row r="67" spans="1:10" ht="25.5">
      <c r="A67" s="114" t="s">
        <v>60</v>
      </c>
      <c r="B67" s="114" t="s">
        <v>59</v>
      </c>
      <c r="C67" s="114" t="s">
        <v>58</v>
      </c>
      <c r="D67" s="114" t="s">
        <v>57</v>
      </c>
      <c r="E67" s="114" t="s">
        <v>56</v>
      </c>
      <c r="F67" s="114" t="s">
        <v>55</v>
      </c>
      <c r="G67" s="114" t="s">
        <v>54</v>
      </c>
    </row>
    <row r="68" spans="1:10">
      <c r="A68" s="11">
        <f>M11</f>
        <v>5.8</v>
      </c>
      <c r="B68" s="11">
        <f>P11</f>
        <v>2143.15</v>
      </c>
      <c r="C68" s="11">
        <f>Q11</f>
        <v>8.5816917747496841</v>
      </c>
      <c r="D68" s="11">
        <v>12</v>
      </c>
      <c r="E68" s="11">
        <v>1</v>
      </c>
      <c r="F68" s="20">
        <f>ROUND((A68*B68*C68)*D68,0)-1</f>
        <v>1280072</v>
      </c>
      <c r="G68" s="20">
        <f>ROUND(F68*30.2%,0)</f>
        <v>386582</v>
      </c>
    </row>
    <row r="69" spans="1:10" ht="12.6" customHeight="1">
      <c r="A69" s="11"/>
      <c r="B69" s="11"/>
      <c r="C69" s="11"/>
      <c r="D69" s="11"/>
      <c r="E69" s="11"/>
      <c r="F69" s="20"/>
      <c r="G69" s="20"/>
    </row>
    <row r="70" spans="1:10">
      <c r="A70" s="261" t="s">
        <v>283</v>
      </c>
      <c r="B70" s="179"/>
      <c r="C70" s="179"/>
      <c r="D70" s="11"/>
      <c r="E70" s="11"/>
      <c r="F70" s="20">
        <v>7748</v>
      </c>
      <c r="G70" s="20">
        <f>ROUND(F70*30.2%,0)</f>
        <v>2340</v>
      </c>
    </row>
    <row r="71" spans="1:10">
      <c r="A71" s="261">
        <v>1210571053</v>
      </c>
      <c r="B71" s="205"/>
      <c r="C71" s="205"/>
      <c r="D71" s="205"/>
      <c r="E71" s="205"/>
      <c r="F71" s="20">
        <f>147214-6686</f>
        <v>140528</v>
      </c>
      <c r="G71" s="20">
        <f>ROUND(F71*30.2%,0)+1</f>
        <v>42440</v>
      </c>
    </row>
    <row r="72" spans="1:10">
      <c r="A72" s="11" t="s">
        <v>53</v>
      </c>
      <c r="B72" s="11"/>
      <c r="C72" s="11"/>
      <c r="D72" s="11"/>
      <c r="E72" s="11"/>
      <c r="F72" s="20">
        <f>SUM(F68:F71)</f>
        <v>1428348</v>
      </c>
      <c r="G72" s="20">
        <f>SUM(G68:G71)</f>
        <v>431362</v>
      </c>
    </row>
    <row r="73" spans="1:10" ht="13.5" thickBot="1"/>
    <row r="74" spans="1:10" ht="102">
      <c r="A74" s="113" t="s">
        <v>65</v>
      </c>
      <c r="B74" s="105" t="s">
        <v>64</v>
      </c>
      <c r="C74" s="105" t="s">
        <v>57</v>
      </c>
      <c r="D74" s="106" t="s">
        <v>63</v>
      </c>
      <c r="G74" s="2" t="s">
        <v>62</v>
      </c>
    </row>
    <row r="75" spans="1:10" ht="13.5" thickBot="1">
      <c r="A75" s="10">
        <v>50</v>
      </c>
      <c r="B75" s="97"/>
      <c r="C75" s="9">
        <v>12</v>
      </c>
      <c r="D75" s="15">
        <f>A75*B75*C75</f>
        <v>0</v>
      </c>
    </row>
    <row r="77" spans="1:10" s="193" customFormat="1" ht="60" customHeight="1" thickBot="1">
      <c r="A77" s="460" t="s">
        <v>213</v>
      </c>
      <c r="B77" s="460"/>
      <c r="C77" s="460"/>
      <c r="D77" s="460"/>
      <c r="E77" s="460"/>
      <c r="F77" s="460"/>
      <c r="G77" s="460"/>
      <c r="H77" s="192"/>
      <c r="I77" s="192"/>
      <c r="J77" s="192"/>
    </row>
    <row r="78" spans="1:10" s="193" customFormat="1" ht="15">
      <c r="A78" s="194" t="s">
        <v>75</v>
      </c>
      <c r="B78" s="474" t="s">
        <v>90</v>
      </c>
      <c r="C78" s="475"/>
      <c r="D78" s="476" t="s">
        <v>72</v>
      </c>
      <c r="E78" s="477"/>
      <c r="F78" s="192"/>
      <c r="G78" s="192"/>
      <c r="H78" s="192"/>
      <c r="I78" s="192"/>
      <c r="J78" s="192"/>
    </row>
    <row r="79" spans="1:10" s="193" customFormat="1">
      <c r="A79" s="195">
        <v>226</v>
      </c>
      <c r="B79" s="478">
        <f>IF(D79=0,0,ROUND(D79/('проверка 2020'!I4+'проверка 2020'!J4+'проверка 2020'!K4+'проверка 2020'!L4+'проверка 2020'!M4+'проверка 2020'!N4+'проверка 2020'!O4),2))</f>
        <v>0</v>
      </c>
      <c r="C79" s="479"/>
      <c r="D79" s="480">
        <f>'проверка 2020'!C31</f>
        <v>0</v>
      </c>
      <c r="E79" s="481"/>
      <c r="F79" s="192"/>
      <c r="G79" s="192"/>
      <c r="H79" s="192"/>
      <c r="I79" s="192"/>
      <c r="J79" s="192"/>
    </row>
    <row r="80" spans="1:10" s="193" customFormat="1" ht="13.5" thickBot="1">
      <c r="A80" s="196">
        <v>340</v>
      </c>
      <c r="B80" s="482">
        <f>IF(D80=0,0,ROUND(D80/('[1]проверка 2017'!H17+'[1]проверка 2017'!I17),2))</f>
        <v>0</v>
      </c>
      <c r="C80" s="469"/>
      <c r="D80" s="483">
        <f>'проверка 2020'!C32</f>
        <v>0</v>
      </c>
      <c r="E80" s="484"/>
      <c r="F80" s="192"/>
      <c r="G80" s="192"/>
      <c r="H80" s="192"/>
      <c r="I80" s="192"/>
      <c r="J80" s="192"/>
    </row>
    <row r="81" spans="1:11">
      <c r="K81" s="2"/>
    </row>
    <row r="82" spans="1:11" ht="55.5" customHeight="1" thickBot="1">
      <c r="A82" s="450" t="s">
        <v>61</v>
      </c>
      <c r="B82" s="450"/>
      <c r="C82" s="450"/>
      <c r="D82" s="450"/>
      <c r="E82" s="450"/>
      <c r="F82" s="450"/>
      <c r="G82" s="450"/>
      <c r="K82" s="2"/>
    </row>
    <row r="83" spans="1:11" ht="25.5">
      <c r="A83" s="113" t="s">
        <v>60</v>
      </c>
      <c r="B83" s="105" t="s">
        <v>59</v>
      </c>
      <c r="C83" s="105" t="s">
        <v>58</v>
      </c>
      <c r="D83" s="105" t="s">
        <v>57</v>
      </c>
      <c r="E83" s="105" t="s">
        <v>56</v>
      </c>
      <c r="F83" s="105" t="s">
        <v>55</v>
      </c>
      <c r="G83" s="106" t="s">
        <v>54</v>
      </c>
      <c r="K83" s="2"/>
    </row>
    <row r="84" spans="1:11">
      <c r="A84" s="12">
        <f>M24</f>
        <v>6.5</v>
      </c>
      <c r="B84" s="11">
        <f>Q24</f>
        <v>21897.360000000001</v>
      </c>
      <c r="C84" s="11">
        <f>R24</f>
        <v>1.063004938917457</v>
      </c>
      <c r="D84" s="11">
        <v>7</v>
      </c>
      <c r="E84" s="11">
        <v>1</v>
      </c>
      <c r="F84" s="14">
        <f>ROUND((A84*B84*C84)*D84*E84,0)</f>
        <v>1059104</v>
      </c>
      <c r="G84" s="13">
        <f>ROUND(F84*30.2%,0)</f>
        <v>319849</v>
      </c>
    </row>
    <row r="85" spans="1:11">
      <c r="A85" s="12">
        <f>M32</f>
        <v>6.5</v>
      </c>
      <c r="B85" s="11">
        <f>Q32</f>
        <v>21897.360000000001</v>
      </c>
      <c r="C85" s="11">
        <f>R32</f>
        <v>1.063004938917457</v>
      </c>
      <c r="D85" s="11">
        <v>1</v>
      </c>
      <c r="E85" s="11">
        <v>1</v>
      </c>
      <c r="F85" s="178">
        <f>ROUND((A85*B85*C85)*D85*E85,0)-1</f>
        <v>151300</v>
      </c>
      <c r="G85" s="13">
        <f>ROUND(F85*30.2%,0)+1</f>
        <v>45694</v>
      </c>
    </row>
    <row r="86" spans="1:11">
      <c r="A86" s="12">
        <f>M36</f>
        <v>6.5</v>
      </c>
      <c r="B86" s="11">
        <f>B85</f>
        <v>21897.360000000001</v>
      </c>
      <c r="C86" s="11">
        <f>R36</f>
        <v>1.063004938917457</v>
      </c>
      <c r="D86" s="11">
        <v>3</v>
      </c>
      <c r="E86" s="11">
        <v>1</v>
      </c>
      <c r="F86" s="178">
        <f>ROUND((A86*B86*C86)*D86*E86,0)</f>
        <v>453902</v>
      </c>
      <c r="G86" s="13">
        <f>ROUND(F86*30.2%,0)</f>
        <v>137078</v>
      </c>
    </row>
    <row r="87" spans="1:11">
      <c r="A87" s="12">
        <f>M42</f>
        <v>6.5</v>
      </c>
      <c r="B87" s="188">
        <f>Q42</f>
        <v>14794.92</v>
      </c>
      <c r="C87" s="29">
        <f>R42</f>
        <v>1</v>
      </c>
      <c r="D87" s="188">
        <v>1</v>
      </c>
      <c r="E87" s="188">
        <v>1</v>
      </c>
      <c r="F87" s="14">
        <f>ROUND((A87*B87*C87)*D87*E87,0)</f>
        <v>96167</v>
      </c>
      <c r="G87" s="13">
        <f>ROUND(F87*30.2%,0)</f>
        <v>29042</v>
      </c>
    </row>
    <row r="88" spans="1:11" ht="38.25">
      <c r="A88" s="12">
        <f>M47</f>
        <v>0</v>
      </c>
      <c r="B88" s="11" t="s">
        <v>216</v>
      </c>
      <c r="C88" s="11">
        <f>R47</f>
        <v>0</v>
      </c>
      <c r="D88" s="11"/>
      <c r="E88" s="11"/>
      <c r="F88" s="11"/>
      <c r="G88" s="199">
        <f>(-D96-D97)</f>
        <v>0</v>
      </c>
    </row>
    <row r="89" spans="1:11">
      <c r="A89" s="12"/>
      <c r="B89" s="179"/>
      <c r="C89" s="29"/>
      <c r="D89" s="179"/>
      <c r="E89" s="179"/>
      <c r="F89" s="178">
        <f>ROUND((A89*B89*C89)*D89*E89,0)</f>
        <v>0</v>
      </c>
      <c r="G89" s="13">
        <f t="shared" ref="G89" si="3">ROUND(F89*30.2%,0)</f>
        <v>0</v>
      </c>
    </row>
    <row r="90" spans="1:11" ht="13.5" thickBot="1">
      <c r="A90" s="10" t="s">
        <v>53</v>
      </c>
      <c r="B90" s="9"/>
      <c r="C90" s="9"/>
      <c r="D90" s="9"/>
      <c r="E90" s="9"/>
      <c r="F90" s="8">
        <f>SUM(F84:F89)</f>
        <v>1760473</v>
      </c>
      <c r="G90" s="7">
        <f>SUM(G84:G89)</f>
        <v>531663</v>
      </c>
    </row>
    <row r="91" spans="1:11">
      <c r="F91" s="198">
        <f>F90+F38</f>
        <v>5838011</v>
      </c>
      <c r="G91" s="198">
        <f>G90+G38</f>
        <v>1763079</v>
      </c>
    </row>
    <row r="92" spans="1:11">
      <c r="F92" s="192"/>
      <c r="G92" s="198">
        <f>G91-'проверка 2020'!C8</f>
        <v>0</v>
      </c>
    </row>
    <row r="94" spans="1:11" s="193" customFormat="1" ht="60" customHeight="1" thickBot="1">
      <c r="A94" s="460" t="s">
        <v>212</v>
      </c>
      <c r="B94" s="460"/>
      <c r="C94" s="460"/>
      <c r="D94" s="460"/>
      <c r="E94" s="460"/>
      <c r="F94" s="460"/>
      <c r="G94" s="460"/>
      <c r="H94" s="192"/>
      <c r="I94" s="192"/>
      <c r="J94" s="192"/>
    </row>
    <row r="95" spans="1:11" s="193" customFormat="1" ht="15">
      <c r="A95" s="194" t="s">
        <v>75</v>
      </c>
      <c r="B95" s="474" t="s">
        <v>90</v>
      </c>
      <c r="C95" s="475"/>
      <c r="D95" s="476" t="s">
        <v>72</v>
      </c>
      <c r="E95" s="477"/>
      <c r="F95" s="192"/>
      <c r="G95" s="192"/>
      <c r="H95" s="192"/>
      <c r="I95" s="192"/>
      <c r="J95" s="192"/>
    </row>
    <row r="96" spans="1:11" s="193" customFormat="1">
      <c r="A96" s="195">
        <v>226</v>
      </c>
      <c r="B96" s="478">
        <f>IF(D96=0,0,ROUND(D96/('проверка 2020'!I4+'проверка 2020'!J4+'проверка 2020'!K4+'проверка 2020'!L4+'проверка 2020'!M4+'проверка 2020'!N4+'проверка 2020'!O4),2))</f>
        <v>0</v>
      </c>
      <c r="C96" s="479"/>
      <c r="D96" s="480">
        <f>'проверка 2020'!C15</f>
        <v>0</v>
      </c>
      <c r="E96" s="481"/>
      <c r="F96" s="192"/>
      <c r="G96" s="192"/>
      <c r="H96" s="192"/>
      <c r="I96" s="192"/>
      <c r="J96" s="192"/>
    </row>
    <row r="97" spans="1:10" s="193" customFormat="1" ht="13.5" thickBot="1">
      <c r="A97" s="196">
        <v>340</v>
      </c>
      <c r="B97" s="482">
        <f>IF(D97=0,0,ROUND(D97/('проверка 2020'!I4+'проверка 2020'!J4+'проверка 2020'!K4+'проверка 2020'!L4+'проверка 2020'!M4+'проверка 2020'!N4+'проверка 2020'!O4),2))</f>
        <v>0</v>
      </c>
      <c r="C97" s="469"/>
      <c r="D97" s="483">
        <f>'проверка 2020'!C16</f>
        <v>0</v>
      </c>
      <c r="E97" s="484"/>
      <c r="F97" s="192"/>
      <c r="G97" s="192"/>
      <c r="H97" s="192"/>
      <c r="I97" s="192"/>
      <c r="J97" s="192"/>
    </row>
    <row r="104" spans="1:10" ht="15">
      <c r="A104" s="5" t="str">
        <f>A56</f>
        <v xml:space="preserve">Директор </v>
      </c>
      <c r="B104" s="59"/>
      <c r="C104" s="102" t="str">
        <f>C56</f>
        <v>Духанина Е.А.</v>
      </c>
      <c r="D104" s="470"/>
      <c r="E104" s="471"/>
      <c r="F104" s="5"/>
      <c r="G104" s="3"/>
    </row>
    <row r="105" spans="1:10">
      <c r="A105" s="56"/>
      <c r="B105" s="56"/>
      <c r="C105" s="56"/>
      <c r="D105" s="56"/>
      <c r="E105" s="4"/>
      <c r="F105" s="1"/>
      <c r="G105" s="3"/>
    </row>
    <row r="106" spans="1:10" ht="15">
      <c r="A106" s="1" t="str">
        <f>A58</f>
        <v xml:space="preserve">Гл.бухгалтер </v>
      </c>
      <c r="B106" s="56"/>
      <c r="C106" s="103" t="str">
        <f>C58</f>
        <v>Варфоломеева Н.Ю.</v>
      </c>
      <c r="D106" s="470"/>
      <c r="E106" s="471"/>
      <c r="F106" s="1"/>
      <c r="G106" s="3"/>
    </row>
    <row r="107" spans="1:10">
      <c r="J107" s="24"/>
    </row>
  </sheetData>
  <mergeCells count="47">
    <mergeCell ref="D52:E52"/>
    <mergeCell ref="D46:E46"/>
    <mergeCell ref="A31:G31"/>
    <mergeCell ref="A40:G40"/>
    <mergeCell ref="D104:E104"/>
    <mergeCell ref="B95:C95"/>
    <mergeCell ref="D95:E95"/>
    <mergeCell ref="B96:C96"/>
    <mergeCell ref="D96:E96"/>
    <mergeCell ref="D106:E106"/>
    <mergeCell ref="A82:G82"/>
    <mergeCell ref="D45:E45"/>
    <mergeCell ref="D47:E47"/>
    <mergeCell ref="A64:G64"/>
    <mergeCell ref="A66:G66"/>
    <mergeCell ref="A77:G77"/>
    <mergeCell ref="B78:C78"/>
    <mergeCell ref="D78:E78"/>
    <mergeCell ref="B79:C79"/>
    <mergeCell ref="D79:E79"/>
    <mergeCell ref="B80:C80"/>
    <mergeCell ref="D80:E80"/>
    <mergeCell ref="B97:C97"/>
    <mergeCell ref="D97:E97"/>
    <mergeCell ref="A94:G94"/>
    <mergeCell ref="D13:E13"/>
    <mergeCell ref="F63:G63"/>
    <mergeCell ref="D42:E42"/>
    <mergeCell ref="D44:E44"/>
    <mergeCell ref="D14:E14"/>
    <mergeCell ref="D41:E41"/>
    <mergeCell ref="A19:G19"/>
    <mergeCell ref="A49:G49"/>
    <mergeCell ref="B50:C50"/>
    <mergeCell ref="D50:E50"/>
    <mergeCell ref="B51:C51"/>
    <mergeCell ref="D51:E51"/>
    <mergeCell ref="B52:C52"/>
    <mergeCell ref="D56:E56"/>
    <mergeCell ref="D58:E58"/>
    <mergeCell ref="D43:E43"/>
    <mergeCell ref="D12:E12"/>
    <mergeCell ref="F1:G1"/>
    <mergeCell ref="A2:G2"/>
    <mergeCell ref="F3:G3"/>
    <mergeCell ref="A4:G4"/>
    <mergeCell ref="A11:G11"/>
  </mergeCells>
  <pageMargins left="0.59055118110236227" right="0" top="0.74803149606299213" bottom="0.74803149606299213" header="0.31496062992125984" footer="0.31496062992125984"/>
  <pageSetup paperSize="9" scale="97" orientation="portrait" r:id="rId1"/>
  <rowBreaks count="3" manualBreakCount="3">
    <brk id="48" max="6" man="1"/>
    <brk id="62" max="16383" man="1"/>
    <brk id="9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2"/>
  <sheetViews>
    <sheetView view="pageBreakPreview" topLeftCell="A38" zoomScaleNormal="100" zoomScaleSheetLayoutView="100" workbookViewId="0">
      <selection activeCell="C81" sqref="C81:E81"/>
    </sheetView>
  </sheetViews>
  <sheetFormatPr defaultColWidth="9.140625" defaultRowHeight="12.75"/>
  <cols>
    <col min="1" max="1" width="23.42578125" style="1" customWidth="1"/>
    <col min="2" max="2" width="16.85546875" style="1" customWidth="1"/>
    <col min="3" max="4" width="12.85546875" style="1" customWidth="1"/>
    <col min="5" max="5" width="13" style="1" customWidth="1"/>
    <col min="6" max="6" width="11.7109375" style="1" customWidth="1"/>
    <col min="7" max="7" width="10.42578125" style="1" customWidth="1"/>
    <col min="8" max="16384" width="9.140625" style="1"/>
  </cols>
  <sheetData>
    <row r="1" spans="1:7">
      <c r="E1" s="490" t="s">
        <v>111</v>
      </c>
      <c r="F1" s="490"/>
    </row>
    <row r="2" spans="1:7" ht="13.5" thickBot="1">
      <c r="A2" s="491" t="s">
        <v>110</v>
      </c>
      <c r="B2" s="491"/>
      <c r="C2" s="491"/>
      <c r="D2" s="491"/>
      <c r="E2" s="491"/>
      <c r="F2" s="491"/>
    </row>
    <row r="3" spans="1:7" s="54" customFormat="1" ht="13.5" hidden="1" thickBot="1">
      <c r="A3" s="53"/>
      <c r="B3" s="53"/>
      <c r="C3" s="53"/>
      <c r="D3" s="53"/>
      <c r="E3" s="53"/>
      <c r="F3" s="53"/>
      <c r="G3" s="51"/>
    </row>
    <row r="4" spans="1:7" ht="13.5" hidden="1" thickBot="1">
      <c r="A4" s="53"/>
      <c r="B4" s="53"/>
      <c r="C4" s="53"/>
      <c r="D4" s="53"/>
      <c r="E4" s="53"/>
      <c r="F4" s="53"/>
      <c r="G4" s="38"/>
    </row>
    <row r="5" spans="1:7" s="2" customFormat="1" ht="24.75" thickBot="1">
      <c r="A5" s="118"/>
      <c r="B5" s="119" t="s">
        <v>101</v>
      </c>
      <c r="C5" s="119" t="s">
        <v>100</v>
      </c>
      <c r="D5" s="119" t="s">
        <v>57</v>
      </c>
      <c r="E5" s="119" t="s">
        <v>56</v>
      </c>
      <c r="F5" s="120" t="s">
        <v>99</v>
      </c>
      <c r="G5" s="48"/>
    </row>
    <row r="6" spans="1:7">
      <c r="A6" s="263" t="s">
        <v>304</v>
      </c>
      <c r="B6" s="43"/>
      <c r="C6" s="43">
        <v>1</v>
      </c>
      <c r="D6" s="43">
        <v>1</v>
      </c>
      <c r="E6" s="43">
        <v>1</v>
      </c>
      <c r="F6" s="262">
        <f t="shared" ref="F6:F9" si="0">ROUND(B6*C6*D6*E6,2)</f>
        <v>0</v>
      </c>
      <c r="G6" s="38"/>
    </row>
    <row r="7" spans="1:7">
      <c r="A7" s="99" t="s">
        <v>240</v>
      </c>
      <c r="B7" s="43"/>
      <c r="C7" s="43">
        <v>1</v>
      </c>
      <c r="D7" s="43">
        <v>1</v>
      </c>
      <c r="E7" s="43">
        <v>1</v>
      </c>
      <c r="F7" s="262">
        <f t="shared" si="0"/>
        <v>0</v>
      </c>
      <c r="G7" s="38"/>
    </row>
    <row r="8" spans="1:7" ht="24">
      <c r="A8" s="99" t="s">
        <v>267</v>
      </c>
      <c r="B8" s="43"/>
      <c r="C8" s="43">
        <v>1</v>
      </c>
      <c r="D8" s="43">
        <v>1</v>
      </c>
      <c r="E8" s="43">
        <v>1</v>
      </c>
      <c r="F8" s="206">
        <f t="shared" si="0"/>
        <v>0</v>
      </c>
      <c r="G8" s="38"/>
    </row>
    <row r="9" spans="1:7">
      <c r="A9" s="99" t="s">
        <v>185</v>
      </c>
      <c r="B9" s="43">
        <v>261.2</v>
      </c>
      <c r="C9" s="43">
        <v>1</v>
      </c>
      <c r="D9" s="43">
        <v>12</v>
      </c>
      <c r="E9" s="43">
        <v>1</v>
      </c>
      <c r="F9" s="206">
        <f t="shared" si="0"/>
        <v>3134.4</v>
      </c>
      <c r="G9" s="38"/>
    </row>
    <row r="10" spans="1:7">
      <c r="A10" s="99" t="s">
        <v>186</v>
      </c>
      <c r="B10" s="43">
        <v>258</v>
      </c>
      <c r="C10" s="43">
        <v>1</v>
      </c>
      <c r="D10" s="43">
        <v>12</v>
      </c>
      <c r="E10" s="43">
        <v>1</v>
      </c>
      <c r="F10" s="206">
        <f>ROUND(B10*C10*D10*E10,2)</f>
        <v>3096</v>
      </c>
      <c r="G10" s="38"/>
    </row>
    <row r="11" spans="1:7">
      <c r="A11" s="99" t="s">
        <v>344</v>
      </c>
      <c r="B11" s="43">
        <v>4870</v>
      </c>
      <c r="C11" s="43">
        <v>1</v>
      </c>
      <c r="D11" s="43">
        <v>1</v>
      </c>
      <c r="E11" s="43">
        <v>1</v>
      </c>
      <c r="F11" s="206">
        <f>ROUND(B11*C11*D11*E11,2)</f>
        <v>4870</v>
      </c>
      <c r="G11" s="38"/>
    </row>
    <row r="12" spans="1:7">
      <c r="A12" s="99" t="s">
        <v>268</v>
      </c>
      <c r="B12" s="43"/>
      <c r="C12" s="43">
        <v>2</v>
      </c>
      <c r="D12" s="43">
        <v>12</v>
      </c>
      <c r="E12" s="43">
        <v>1</v>
      </c>
      <c r="F12" s="206">
        <f t="shared" ref="F12:F20" si="1">ROUND(B12*C12*D12*E12,2)</f>
        <v>0</v>
      </c>
      <c r="G12" s="38"/>
    </row>
    <row r="13" spans="1:7" ht="24">
      <c r="A13" s="99" t="s">
        <v>187</v>
      </c>
      <c r="B13" s="43">
        <v>1698</v>
      </c>
      <c r="C13" s="43">
        <v>1</v>
      </c>
      <c r="D13" s="43">
        <v>12</v>
      </c>
      <c r="E13" s="43">
        <v>1</v>
      </c>
      <c r="F13" s="206">
        <f t="shared" si="1"/>
        <v>20376</v>
      </c>
      <c r="G13" s="38"/>
    </row>
    <row r="14" spans="1:7">
      <c r="A14" s="99" t="s">
        <v>165</v>
      </c>
      <c r="B14" s="43">
        <f>15000/12</f>
        <v>1250</v>
      </c>
      <c r="C14" s="43">
        <v>1</v>
      </c>
      <c r="D14" s="43">
        <v>12</v>
      </c>
      <c r="E14" s="43">
        <v>1</v>
      </c>
      <c r="F14" s="206">
        <f t="shared" si="1"/>
        <v>15000</v>
      </c>
      <c r="G14" s="38"/>
    </row>
    <row r="15" spans="1:7" ht="24">
      <c r="A15" s="99" t="s">
        <v>269</v>
      </c>
      <c r="B15" s="43"/>
      <c r="C15" s="43">
        <v>1</v>
      </c>
      <c r="D15" s="43">
        <v>1</v>
      </c>
      <c r="E15" s="43">
        <v>1</v>
      </c>
      <c r="F15" s="206">
        <f t="shared" si="1"/>
        <v>0</v>
      </c>
      <c r="G15" s="38"/>
    </row>
    <row r="16" spans="1:7" ht="24">
      <c r="A16" s="99" t="s">
        <v>108</v>
      </c>
      <c r="B16" s="43"/>
      <c r="C16" s="43">
        <v>1</v>
      </c>
      <c r="D16" s="43">
        <v>1</v>
      </c>
      <c r="E16" s="43">
        <v>1</v>
      </c>
      <c r="F16" s="206">
        <f t="shared" si="1"/>
        <v>0</v>
      </c>
      <c r="G16" s="38"/>
    </row>
    <row r="17" spans="1:7">
      <c r="A17" s="99" t="s">
        <v>107</v>
      </c>
      <c r="B17" s="43">
        <f>43103.88/12</f>
        <v>3591.99</v>
      </c>
      <c r="C17" s="43">
        <v>1</v>
      </c>
      <c r="D17" s="43">
        <v>12</v>
      </c>
      <c r="E17" s="43">
        <v>1</v>
      </c>
      <c r="F17" s="206">
        <f t="shared" si="1"/>
        <v>43103.88</v>
      </c>
      <c r="G17" s="38"/>
    </row>
    <row r="18" spans="1:7">
      <c r="A18" s="99" t="s">
        <v>270</v>
      </c>
      <c r="B18" s="43"/>
      <c r="C18" s="43">
        <v>1</v>
      </c>
      <c r="D18" s="43">
        <v>1</v>
      </c>
      <c r="E18" s="43">
        <v>1</v>
      </c>
      <c r="F18" s="206">
        <f t="shared" si="1"/>
        <v>0</v>
      </c>
      <c r="G18" s="38"/>
    </row>
    <row r="19" spans="1:7" ht="24">
      <c r="A19" s="99" t="s">
        <v>345</v>
      </c>
      <c r="B19" s="43">
        <v>3000</v>
      </c>
      <c r="C19" s="43">
        <v>1</v>
      </c>
      <c r="D19" s="43">
        <v>1</v>
      </c>
      <c r="E19" s="43">
        <v>1</v>
      </c>
      <c r="F19" s="206">
        <f t="shared" si="1"/>
        <v>3000</v>
      </c>
      <c r="G19" s="38"/>
    </row>
    <row r="20" spans="1:7">
      <c r="A20" s="99" t="s">
        <v>188</v>
      </c>
      <c r="B20" s="43">
        <v>10000</v>
      </c>
      <c r="C20" s="43">
        <v>1</v>
      </c>
      <c r="D20" s="43">
        <v>1</v>
      </c>
      <c r="E20" s="43">
        <v>1</v>
      </c>
      <c r="F20" s="206">
        <f t="shared" si="1"/>
        <v>10000</v>
      </c>
      <c r="G20" s="38"/>
    </row>
    <row r="21" spans="1:7" ht="36">
      <c r="A21" s="99" t="s">
        <v>217</v>
      </c>
      <c r="B21" s="43"/>
      <c r="C21" s="43"/>
      <c r="D21" s="43"/>
      <c r="E21" s="43"/>
      <c r="F21" s="206">
        <f t="shared" ref="F21:F27" si="2">ROUND(B21*C21*D21*E21,2)</f>
        <v>0</v>
      </c>
      <c r="G21" s="38"/>
    </row>
    <row r="22" spans="1:7" ht="22.5" customHeight="1">
      <c r="A22" s="100" t="s">
        <v>105</v>
      </c>
      <c r="B22" s="43">
        <v>1100</v>
      </c>
      <c r="C22" s="43">
        <v>1</v>
      </c>
      <c r="D22" s="43">
        <v>12</v>
      </c>
      <c r="E22" s="43">
        <v>1</v>
      </c>
      <c r="F22" s="206">
        <f t="shared" si="2"/>
        <v>13200</v>
      </c>
      <c r="G22" s="38"/>
    </row>
    <row r="23" spans="1:7" ht="26.25" customHeight="1">
      <c r="A23" s="100" t="s">
        <v>271</v>
      </c>
      <c r="B23" s="43"/>
      <c r="C23" s="43"/>
      <c r="D23" s="43"/>
      <c r="E23" s="43"/>
      <c r="F23" s="206">
        <f t="shared" si="2"/>
        <v>0</v>
      </c>
      <c r="G23" s="204"/>
    </row>
    <row r="24" spans="1:7" ht="26.25" customHeight="1">
      <c r="A24" s="99" t="s">
        <v>218</v>
      </c>
      <c r="B24" s="43"/>
      <c r="C24" s="43">
        <v>1</v>
      </c>
      <c r="D24" s="43">
        <v>12</v>
      </c>
      <c r="E24" s="43">
        <v>1</v>
      </c>
      <c r="F24" s="206">
        <f t="shared" si="2"/>
        <v>0</v>
      </c>
      <c r="G24" s="38"/>
    </row>
    <row r="25" spans="1:7" ht="24.75" thickBot="1">
      <c r="A25" s="101" t="s">
        <v>189</v>
      </c>
      <c r="B25" s="40">
        <v>1605.26</v>
      </c>
      <c r="C25" s="40">
        <v>1</v>
      </c>
      <c r="D25" s="40">
        <v>12</v>
      </c>
      <c r="E25" s="40">
        <v>1</v>
      </c>
      <c r="F25" s="206">
        <f t="shared" si="2"/>
        <v>19263.12</v>
      </c>
      <c r="G25" s="38"/>
    </row>
    <row r="26" spans="1:7" ht="24.75" thickBot="1">
      <c r="A26" s="101" t="s">
        <v>189</v>
      </c>
      <c r="B26" s="40"/>
      <c r="C26" s="40">
        <v>1</v>
      </c>
      <c r="D26" s="40">
        <v>1</v>
      </c>
      <c r="E26" s="40">
        <v>1</v>
      </c>
      <c r="F26" s="206">
        <f>ROUND(B26*C26*D26*E26,2)</f>
        <v>0</v>
      </c>
      <c r="G26" s="38"/>
    </row>
    <row r="27" spans="1:7" ht="0.6" customHeight="1">
      <c r="A27" s="52"/>
      <c r="B27" s="51"/>
      <c r="C27" s="51"/>
      <c r="D27" s="51"/>
      <c r="E27" s="51"/>
      <c r="F27" s="98">
        <f t="shared" si="2"/>
        <v>0</v>
      </c>
      <c r="G27" s="38"/>
    </row>
    <row r="28" spans="1:7">
      <c r="A28" s="52"/>
      <c r="B28" s="51"/>
      <c r="C28" s="51"/>
      <c r="D28" s="51"/>
      <c r="E28" s="51"/>
      <c r="F28" s="98">
        <f>SUM(F6:F27)+0.48</f>
        <v>135043.88</v>
      </c>
      <c r="G28" s="38"/>
    </row>
    <row r="29" spans="1:7">
      <c r="A29" s="48"/>
      <c r="B29" s="38"/>
      <c r="C29" s="38"/>
      <c r="D29" s="38"/>
      <c r="E29" s="38"/>
      <c r="F29" s="98"/>
      <c r="G29" s="38"/>
    </row>
    <row r="30" spans="1:7" ht="15.75" customHeight="1">
      <c r="A30" s="492" t="s">
        <v>104</v>
      </c>
      <c r="B30" s="492"/>
      <c r="C30" s="492"/>
      <c r="D30" s="492"/>
      <c r="E30" s="492"/>
      <c r="F30" s="492"/>
      <c r="G30" s="38"/>
    </row>
    <row r="31" spans="1:7" ht="13.5" thickBot="1">
      <c r="A31" s="48"/>
      <c r="B31" s="38"/>
      <c r="C31" s="38"/>
      <c r="D31" s="38"/>
      <c r="E31" s="38"/>
      <c r="F31" s="204">
        <f>F6+F7+F8+F9+F10+F11+F12+F13+F14+F15+F16+F17+F18+F20+F22+F23+F25+F26</f>
        <v>132043.4</v>
      </c>
      <c r="G31" s="38"/>
    </row>
    <row r="32" spans="1:7" ht="24">
      <c r="A32" s="118"/>
      <c r="B32" s="119" t="s">
        <v>101</v>
      </c>
      <c r="C32" s="119" t="s">
        <v>100</v>
      </c>
      <c r="D32" s="119" t="s">
        <v>57</v>
      </c>
      <c r="E32" s="119" t="s">
        <v>56</v>
      </c>
      <c r="F32" s="120" t="s">
        <v>99</v>
      </c>
      <c r="G32" s="38"/>
    </row>
    <row r="33" spans="1:7" ht="24">
      <c r="A33" s="45" t="s">
        <v>190</v>
      </c>
      <c r="B33" s="43">
        <v>252</v>
      </c>
      <c r="C33" s="43">
        <v>1</v>
      </c>
      <c r="D33" s="43">
        <v>12</v>
      </c>
      <c r="E33" s="43">
        <v>1</v>
      </c>
      <c r="F33" s="50">
        <f>ROUND(B33*C33*D33*E33,2)</f>
        <v>3024</v>
      </c>
      <c r="G33" s="38"/>
    </row>
    <row r="34" spans="1:7">
      <c r="A34" s="45" t="s">
        <v>219</v>
      </c>
      <c r="B34" s="43">
        <v>0.65</v>
      </c>
      <c r="C34" s="43">
        <f>8580/12</f>
        <v>715</v>
      </c>
      <c r="D34" s="43">
        <v>12</v>
      </c>
      <c r="E34" s="43">
        <v>1</v>
      </c>
      <c r="F34" s="50">
        <f>ROUND(B34*C34*D34*E34,2)</f>
        <v>5577</v>
      </c>
      <c r="G34" s="38"/>
    </row>
    <row r="35" spans="1:7" ht="12.6" customHeight="1">
      <c r="A35" s="45" t="s">
        <v>272</v>
      </c>
      <c r="B35" s="43"/>
      <c r="C35" s="43"/>
      <c r="D35" s="43">
        <v>1</v>
      </c>
      <c r="E35" s="43">
        <v>1</v>
      </c>
      <c r="F35" s="50">
        <f t="shared" ref="F35:F39" si="3">ROUND(B35*C35*D35*E35,2)</f>
        <v>0</v>
      </c>
      <c r="G35" s="38"/>
    </row>
    <row r="36" spans="1:7">
      <c r="A36" s="45" t="s">
        <v>273</v>
      </c>
      <c r="B36" s="43">
        <v>1136</v>
      </c>
      <c r="C36" s="43">
        <v>1</v>
      </c>
      <c r="D36" s="43">
        <v>12</v>
      </c>
      <c r="E36" s="43">
        <v>1</v>
      </c>
      <c r="F36" s="50">
        <f t="shared" si="3"/>
        <v>13632</v>
      </c>
      <c r="G36" s="38"/>
    </row>
    <row r="37" spans="1:7">
      <c r="A37" s="45" t="s">
        <v>273</v>
      </c>
      <c r="B37" s="43"/>
      <c r="C37" s="43"/>
      <c r="D37" s="43">
        <v>12</v>
      </c>
      <c r="E37" s="43">
        <v>1</v>
      </c>
      <c r="F37" s="50">
        <f t="shared" si="3"/>
        <v>0</v>
      </c>
      <c r="G37" s="38"/>
    </row>
    <row r="38" spans="1:7">
      <c r="A38" s="45" t="s">
        <v>273</v>
      </c>
      <c r="B38" s="43"/>
      <c r="C38" s="43"/>
      <c r="D38" s="43">
        <v>1</v>
      </c>
      <c r="E38" s="43">
        <v>1</v>
      </c>
      <c r="F38" s="50">
        <f t="shared" si="3"/>
        <v>0</v>
      </c>
      <c r="G38" s="38"/>
    </row>
    <row r="39" spans="1:7" ht="24">
      <c r="A39" s="45" t="s">
        <v>190</v>
      </c>
      <c r="B39" s="43"/>
      <c r="C39" s="43"/>
      <c r="D39" s="43">
        <v>1</v>
      </c>
      <c r="E39" s="43">
        <v>1</v>
      </c>
      <c r="F39" s="50">
        <f t="shared" si="3"/>
        <v>0</v>
      </c>
      <c r="G39" s="38"/>
    </row>
    <row r="40" spans="1:7" ht="13.5" thickBot="1">
      <c r="A40" s="49" t="s">
        <v>53</v>
      </c>
      <c r="B40" s="40"/>
      <c r="C40" s="40"/>
      <c r="D40" s="40"/>
      <c r="E40" s="40"/>
      <c r="F40" s="127">
        <f>F33+F35+F34+F36+F37+F39</f>
        <v>22233</v>
      </c>
      <c r="G40" s="38"/>
    </row>
    <row r="41" spans="1:7" ht="24.75" hidden="1" thickBot="1">
      <c r="A41" s="124" t="s">
        <v>103</v>
      </c>
      <c r="B41" s="125"/>
      <c r="C41" s="125"/>
      <c r="D41" s="125"/>
      <c r="E41" s="125"/>
      <c r="F41" s="126">
        <f>ROUND(B41*C41*D41*E41,2)</f>
        <v>0</v>
      </c>
      <c r="G41" s="38"/>
    </row>
    <row r="42" spans="1:7">
      <c r="A42" s="48"/>
      <c r="B42" s="38"/>
      <c r="C42" s="38"/>
      <c r="D42" s="38"/>
      <c r="E42" s="38"/>
      <c r="F42" s="38"/>
      <c r="G42" s="38"/>
    </row>
    <row r="43" spans="1:7">
      <c r="A43" s="38"/>
      <c r="B43" s="38"/>
      <c r="C43" s="38"/>
      <c r="D43" s="38"/>
      <c r="E43" s="38"/>
      <c r="F43" s="38"/>
      <c r="G43" s="38"/>
    </row>
    <row r="44" spans="1:7">
      <c r="A44" s="493" t="s">
        <v>102</v>
      </c>
      <c r="B44" s="494"/>
      <c r="C44" s="494"/>
      <c r="D44" s="494"/>
      <c r="E44" s="494"/>
      <c r="F44" s="494"/>
      <c r="G44" s="38"/>
    </row>
    <row r="45" spans="1:7" ht="13.5" thickBot="1">
      <c r="A45" s="38"/>
      <c r="B45" s="38"/>
      <c r="C45" s="38"/>
      <c r="D45" s="38"/>
      <c r="E45" s="38"/>
      <c r="F45" s="38"/>
      <c r="G45" s="38"/>
    </row>
    <row r="46" spans="1:7" ht="24">
      <c r="A46" s="118"/>
      <c r="B46" s="119" t="s">
        <v>101</v>
      </c>
      <c r="C46" s="119" t="s">
        <v>100</v>
      </c>
      <c r="D46" s="119" t="s">
        <v>57</v>
      </c>
      <c r="E46" s="119" t="s">
        <v>56</v>
      </c>
      <c r="F46" s="120" t="s">
        <v>99</v>
      </c>
      <c r="G46" s="38"/>
    </row>
    <row r="47" spans="1:7">
      <c r="A47" s="45" t="s">
        <v>220</v>
      </c>
      <c r="B47" s="43"/>
      <c r="C47" s="43"/>
      <c r="D47" s="43">
        <v>1</v>
      </c>
      <c r="E47" s="43">
        <v>1</v>
      </c>
      <c r="F47" s="117">
        <f t="shared" ref="F47:F50" si="4">ROUND(B47*C47*D47*E47,2)</f>
        <v>0</v>
      </c>
      <c r="G47" s="38"/>
    </row>
    <row r="48" spans="1:7">
      <c r="A48" s="47" t="s">
        <v>221</v>
      </c>
      <c r="B48" s="46">
        <v>1240</v>
      </c>
      <c r="C48" s="46">
        <v>21</v>
      </c>
      <c r="D48" s="46">
        <v>1</v>
      </c>
      <c r="E48" s="46">
        <v>1</v>
      </c>
      <c r="F48" s="117">
        <f t="shared" si="4"/>
        <v>26040</v>
      </c>
      <c r="G48" s="38"/>
    </row>
    <row r="49" spans="1:7">
      <c r="A49" s="47" t="s">
        <v>222</v>
      </c>
      <c r="B49" s="46">
        <v>1030</v>
      </c>
      <c r="C49" s="46">
        <v>4</v>
      </c>
      <c r="D49" s="46">
        <v>1</v>
      </c>
      <c r="E49" s="46">
        <v>1</v>
      </c>
      <c r="F49" s="117">
        <f t="shared" si="4"/>
        <v>4120</v>
      </c>
      <c r="G49" s="38"/>
    </row>
    <row r="50" spans="1:7">
      <c r="A50" s="47" t="s">
        <v>177</v>
      </c>
      <c r="B50" s="46">
        <v>25</v>
      </c>
      <c r="C50" s="46">
        <v>160</v>
      </c>
      <c r="D50" s="46">
        <v>1</v>
      </c>
      <c r="E50" s="46">
        <v>1</v>
      </c>
      <c r="F50" s="117">
        <f t="shared" si="4"/>
        <v>4000</v>
      </c>
      <c r="G50" s="38"/>
    </row>
    <row r="51" spans="1:7">
      <c r="A51" s="45" t="s">
        <v>53</v>
      </c>
      <c r="B51" s="43"/>
      <c r="C51" s="43"/>
      <c r="D51" s="43"/>
      <c r="E51" s="43"/>
      <c r="F51" s="146">
        <f>F47+F48+F49+F50</f>
        <v>34160</v>
      </c>
      <c r="G51" s="38"/>
    </row>
    <row r="52" spans="1:7">
      <c r="A52" s="45" t="s">
        <v>274</v>
      </c>
      <c r="B52" s="43"/>
      <c r="C52" s="43">
        <v>1</v>
      </c>
      <c r="D52" s="43">
        <v>1</v>
      </c>
      <c r="E52" s="43">
        <v>1</v>
      </c>
      <c r="F52" s="117">
        <f t="shared" ref="F52:F55" si="5">ROUND(B52*C52*D52*E52,2)</f>
        <v>0</v>
      </c>
      <c r="G52" s="38"/>
    </row>
    <row r="53" spans="1:7" ht="24">
      <c r="A53" s="45" t="s">
        <v>206</v>
      </c>
      <c r="B53" s="43">
        <f>700+4400+2500</f>
        <v>7600</v>
      </c>
      <c r="C53" s="43">
        <v>1</v>
      </c>
      <c r="D53" s="43">
        <v>1</v>
      </c>
      <c r="E53" s="43">
        <v>1</v>
      </c>
      <c r="F53" s="117">
        <f t="shared" si="5"/>
        <v>7600</v>
      </c>
      <c r="G53" s="38"/>
    </row>
    <row r="54" spans="1:7">
      <c r="A54" s="76" t="s">
        <v>346</v>
      </c>
      <c r="B54" s="46">
        <v>288000</v>
      </c>
      <c r="C54" s="46">
        <v>1</v>
      </c>
      <c r="D54" s="46">
        <v>1</v>
      </c>
      <c r="E54" s="46">
        <v>1</v>
      </c>
      <c r="F54" s="200">
        <f t="shared" si="5"/>
        <v>288000</v>
      </c>
      <c r="G54" s="38"/>
    </row>
    <row r="55" spans="1:7">
      <c r="A55" s="76" t="s">
        <v>262</v>
      </c>
      <c r="B55" s="46">
        <v>103620</v>
      </c>
      <c r="C55" s="46">
        <v>1</v>
      </c>
      <c r="D55" s="46">
        <v>1</v>
      </c>
      <c r="E55" s="46">
        <v>1</v>
      </c>
      <c r="F55" s="200">
        <f t="shared" si="5"/>
        <v>103620</v>
      </c>
      <c r="G55" s="38"/>
    </row>
    <row r="56" spans="1:7" ht="0.6" customHeight="1">
      <c r="A56" s="47"/>
      <c r="B56" s="46"/>
      <c r="C56" s="46"/>
      <c r="D56" s="46"/>
      <c r="E56" s="46"/>
      <c r="F56" s="200"/>
      <c r="G56" s="38"/>
    </row>
    <row r="57" spans="1:7" hidden="1">
      <c r="A57" s="47"/>
      <c r="B57" s="46"/>
      <c r="C57" s="46"/>
      <c r="D57" s="46"/>
      <c r="E57" s="46"/>
      <c r="F57" s="200"/>
      <c r="G57" s="38"/>
    </row>
    <row r="58" spans="1:7" hidden="1">
      <c r="A58" s="47"/>
      <c r="B58" s="46"/>
      <c r="C58" s="46"/>
      <c r="D58" s="46"/>
      <c r="E58" s="46"/>
      <c r="F58" s="200"/>
      <c r="G58" s="38"/>
    </row>
    <row r="59" spans="1:7" hidden="1">
      <c r="A59" s="47"/>
      <c r="B59" s="46"/>
      <c r="C59" s="46"/>
      <c r="D59" s="46"/>
      <c r="E59" s="46"/>
      <c r="F59" s="200"/>
      <c r="G59" s="38"/>
    </row>
    <row r="60" spans="1:7" hidden="1">
      <c r="A60" s="47"/>
      <c r="B60" s="46"/>
      <c r="C60" s="46"/>
      <c r="D60" s="46"/>
      <c r="E60" s="46"/>
      <c r="F60" s="200"/>
      <c r="G60" s="38"/>
    </row>
    <row r="61" spans="1:7" hidden="1">
      <c r="A61" s="47"/>
      <c r="B61" s="46"/>
      <c r="C61" s="46"/>
      <c r="D61" s="46"/>
      <c r="E61" s="46"/>
      <c r="F61" s="200"/>
      <c r="G61" s="38"/>
    </row>
    <row r="62" spans="1:7" hidden="1">
      <c r="A62" s="47"/>
      <c r="B62" s="46"/>
      <c r="C62" s="46"/>
      <c r="D62" s="46"/>
      <c r="E62" s="46"/>
      <c r="F62" s="200"/>
      <c r="G62" s="38"/>
    </row>
    <row r="63" spans="1:7" hidden="1">
      <c r="A63" s="47"/>
      <c r="B63" s="46"/>
      <c r="C63" s="46"/>
      <c r="D63" s="46"/>
      <c r="E63" s="46"/>
      <c r="F63" s="200"/>
      <c r="G63" s="38"/>
    </row>
    <row r="64" spans="1:7" hidden="1">
      <c r="A64" s="45"/>
      <c r="B64" s="43"/>
      <c r="C64" s="43"/>
      <c r="D64" s="43"/>
      <c r="E64" s="43"/>
      <c r="F64" s="146"/>
      <c r="G64" s="38"/>
    </row>
    <row r="65" spans="1:82" hidden="1">
      <c r="A65" s="45"/>
      <c r="B65" s="43"/>
      <c r="C65" s="43"/>
      <c r="D65" s="43"/>
      <c r="E65" s="43"/>
      <c r="F65" s="117"/>
      <c r="G65" s="38"/>
    </row>
    <row r="66" spans="1:82" hidden="1">
      <c r="A66" s="45"/>
      <c r="B66" s="43"/>
      <c r="C66" s="43"/>
      <c r="D66" s="43"/>
      <c r="E66" s="43"/>
      <c r="F66" s="117"/>
      <c r="G66" s="38"/>
    </row>
    <row r="67" spans="1:82" hidden="1">
      <c r="A67" s="44"/>
      <c r="B67" s="43"/>
      <c r="C67" s="43" t="s">
        <v>62</v>
      </c>
      <c r="D67" s="43"/>
      <c r="E67" s="43"/>
      <c r="F67" s="42"/>
      <c r="G67" s="38"/>
    </row>
    <row r="68" spans="1:82" hidden="1">
      <c r="A68" s="44"/>
      <c r="B68" s="43"/>
      <c r="C68" s="43"/>
      <c r="D68" s="43"/>
      <c r="E68" s="43"/>
      <c r="F68" s="42"/>
      <c r="G68" s="38"/>
    </row>
    <row r="69" spans="1:82" hidden="1">
      <c r="A69" s="44"/>
      <c r="B69" s="43"/>
      <c r="C69" s="43"/>
      <c r="D69" s="43"/>
      <c r="E69" s="43"/>
      <c r="F69" s="42"/>
      <c r="G69" s="38"/>
    </row>
    <row r="70" spans="1:82" hidden="1">
      <c r="A70" s="44" t="s">
        <v>98</v>
      </c>
      <c r="B70" s="43"/>
      <c r="C70" s="43">
        <v>1</v>
      </c>
      <c r="D70" s="43">
        <v>1</v>
      </c>
      <c r="E70" s="43">
        <v>1</v>
      </c>
      <c r="F70" s="42">
        <f>ROUND(B70*C70*D70*E70,2)</f>
        <v>0</v>
      </c>
      <c r="G70" s="38"/>
    </row>
    <row r="71" spans="1:82" hidden="1">
      <c r="A71" s="45" t="s">
        <v>97</v>
      </c>
      <c r="B71" s="43"/>
      <c r="C71" s="43"/>
      <c r="D71" s="43"/>
      <c r="E71" s="43"/>
      <c r="F71" s="42"/>
      <c r="G71" s="38"/>
    </row>
    <row r="72" spans="1:82" hidden="1">
      <c r="A72" s="44"/>
      <c r="B72" s="43"/>
      <c r="C72" s="43"/>
      <c r="D72" s="43"/>
      <c r="E72" s="43"/>
      <c r="F72" s="42"/>
      <c r="G72" s="38"/>
    </row>
    <row r="73" spans="1:82" hidden="1">
      <c r="A73" s="44"/>
      <c r="B73" s="43"/>
      <c r="C73" s="43"/>
      <c r="D73" s="43"/>
      <c r="E73" s="43"/>
      <c r="F73" s="42"/>
      <c r="G73" s="38"/>
    </row>
    <row r="74" spans="1:82" ht="13.5" thickBot="1">
      <c r="A74" s="41" t="s">
        <v>53</v>
      </c>
      <c r="B74" s="40"/>
      <c r="C74" s="40"/>
      <c r="D74" s="40"/>
      <c r="E74" s="40"/>
      <c r="F74" s="39">
        <f>F51+F52+F53+F54+0.12+F55</f>
        <v>433380.12</v>
      </c>
      <c r="G74" s="38"/>
    </row>
    <row r="75" spans="1:82">
      <c r="A75" s="38"/>
      <c r="B75" s="38"/>
      <c r="C75" s="38"/>
      <c r="D75" s="38"/>
      <c r="E75" s="38"/>
      <c r="F75" s="38"/>
      <c r="G75" s="38"/>
    </row>
    <row r="76" spans="1:82" ht="10.5" customHeight="1">
      <c r="A76" s="38"/>
      <c r="B76" s="38"/>
      <c r="C76" s="38"/>
      <c r="D76" s="38"/>
      <c r="E76" s="38"/>
      <c r="F76" s="38"/>
      <c r="G76" s="38"/>
    </row>
    <row r="77" spans="1:82">
      <c r="A77" s="38"/>
      <c r="B77" s="38"/>
      <c r="C77" s="38"/>
      <c r="D77" s="38"/>
      <c r="E77" s="38"/>
      <c r="F77" s="38"/>
      <c r="G77" s="3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9" spans="1:82" ht="15">
      <c r="A79" s="5" t="str">
        <f>'пр.1+2 '!A56</f>
        <v xml:space="preserve">Директор </v>
      </c>
      <c r="B79" s="59"/>
      <c r="C79" s="102" t="str">
        <f>'пр.1+2 '!C56</f>
        <v>Духанина Е.А.</v>
      </c>
      <c r="D79" s="470"/>
      <c r="E79" s="471"/>
      <c r="F79" s="5"/>
      <c r="G79" s="3"/>
      <c r="H79" s="2"/>
      <c r="I79" s="2"/>
      <c r="J79" s="2"/>
    </row>
    <row r="80" spans="1:82">
      <c r="A80" s="56"/>
      <c r="B80" s="56"/>
      <c r="C80" s="56"/>
      <c r="D80" s="56"/>
      <c r="E80" s="4"/>
      <c r="G80" s="3"/>
      <c r="H80" s="2"/>
      <c r="I80" s="2"/>
      <c r="J80" s="24"/>
    </row>
    <row r="81" spans="1:82" ht="15">
      <c r="A81" s="1" t="str">
        <f>'пр.1+2 '!A58</f>
        <v xml:space="preserve">Гл.бухгалтер </v>
      </c>
      <c r="B81" s="56"/>
      <c r="C81" s="489" t="str">
        <f>'пр.1+2 '!C58</f>
        <v>Варфоломеева Н.Ю.</v>
      </c>
      <c r="D81" s="471"/>
      <c r="E81" s="471"/>
      <c r="G81" s="3"/>
      <c r="H81" s="2"/>
      <c r="I81" s="2"/>
      <c r="J81" s="2"/>
    </row>
    <row r="82" spans="1:82">
      <c r="A82" s="38"/>
      <c r="B82" s="38"/>
      <c r="C82" s="38"/>
      <c r="D82" s="38"/>
      <c r="E82" s="38"/>
      <c r="F82" s="38"/>
      <c r="G82" s="3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</sheetData>
  <mergeCells count="6">
    <mergeCell ref="C81:E81"/>
    <mergeCell ref="E1:F1"/>
    <mergeCell ref="A2:F2"/>
    <mergeCell ref="A30:F30"/>
    <mergeCell ref="A44:F44"/>
    <mergeCell ref="D79:E79"/>
  </mergeCells>
  <pageMargins left="0" right="0" top="0.28999999999999998" bottom="0.74803149606299213" header="0.31496062992125984" footer="0.31496062992125984"/>
  <pageSetup paperSize="9" scale="8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52"/>
  <sheetViews>
    <sheetView view="pageBreakPreview" zoomScaleNormal="100" zoomScaleSheetLayoutView="100" workbookViewId="0">
      <selection activeCell="C52" sqref="C52"/>
    </sheetView>
  </sheetViews>
  <sheetFormatPr defaultColWidth="9.140625" defaultRowHeight="12.75"/>
  <cols>
    <col min="1" max="1" width="23.42578125" style="55" customWidth="1"/>
    <col min="2" max="2" width="16.85546875" style="55" customWidth="1"/>
    <col min="3" max="4" width="12.85546875" style="55" customWidth="1"/>
    <col min="5" max="5" width="13" style="55" customWidth="1"/>
    <col min="6" max="6" width="14.42578125" style="55" customWidth="1"/>
    <col min="7" max="16384" width="9.140625" style="55"/>
  </cols>
  <sheetData>
    <row r="1" spans="1:6">
      <c r="E1" s="499" t="s">
        <v>126</v>
      </c>
      <c r="F1" s="499"/>
    </row>
    <row r="2" spans="1:6" ht="18.75">
      <c r="A2" s="500" t="s">
        <v>125</v>
      </c>
      <c r="B2" s="500"/>
      <c r="C2" s="500"/>
      <c r="D2" s="500"/>
      <c r="E2" s="500"/>
      <c r="F2" s="500"/>
    </row>
    <row r="3" spans="1:6" s="71" customFormat="1">
      <c r="A3" s="70"/>
      <c r="B3" s="70"/>
      <c r="C3" s="70"/>
      <c r="D3" s="70"/>
      <c r="E3" s="70"/>
      <c r="F3" s="70"/>
    </row>
    <row r="4" spans="1:6" ht="13.5" thickBot="1">
      <c r="A4" s="70"/>
      <c r="B4" s="70"/>
      <c r="C4" s="70"/>
      <c r="D4" s="70"/>
      <c r="E4" s="70"/>
      <c r="F4" s="70"/>
    </row>
    <row r="5" spans="1:6" s="67" customFormat="1" ht="25.5">
      <c r="A5" s="108"/>
      <c r="B5" s="109" t="s">
        <v>101</v>
      </c>
      <c r="C5" s="109" t="s">
        <v>100</v>
      </c>
      <c r="D5" s="109" t="s">
        <v>57</v>
      </c>
      <c r="E5" s="105" t="s">
        <v>56</v>
      </c>
      <c r="F5" s="110" t="s">
        <v>99</v>
      </c>
    </row>
    <row r="6" spans="1:6">
      <c r="A6" s="65" t="s">
        <v>124</v>
      </c>
      <c r="B6" s="63"/>
      <c r="C6" s="63">
        <v>4</v>
      </c>
      <c r="D6" s="63">
        <v>1</v>
      </c>
      <c r="E6" s="63">
        <v>1</v>
      </c>
      <c r="F6" s="62">
        <f>ROUND(B6*C6*D6*E6,2)</f>
        <v>0</v>
      </c>
    </row>
    <row r="7" spans="1:6">
      <c r="A7" s="65" t="s">
        <v>123</v>
      </c>
      <c r="B7" s="63"/>
      <c r="C7" s="63"/>
      <c r="D7" s="63"/>
      <c r="E7" s="63"/>
      <c r="F7" s="62"/>
    </row>
    <row r="8" spans="1:6" hidden="1">
      <c r="A8" s="12" t="s">
        <v>109</v>
      </c>
      <c r="B8" s="63"/>
      <c r="C8" s="63">
        <v>1</v>
      </c>
      <c r="D8" s="63">
        <v>1</v>
      </c>
      <c r="E8" s="63">
        <v>1.0649999999999999</v>
      </c>
      <c r="F8" s="62">
        <f>ROUND(B8*C8*D8*E8,2)</f>
        <v>0</v>
      </c>
    </row>
    <row r="9" spans="1:6" ht="25.5" hidden="1">
      <c r="A9" s="12" t="s">
        <v>122</v>
      </c>
      <c r="B9" s="63"/>
      <c r="C9" s="63"/>
      <c r="D9" s="63">
        <v>12</v>
      </c>
      <c r="E9" s="63">
        <v>1</v>
      </c>
      <c r="F9" s="62">
        <f>ROUND(B9*C9*D9*E9,2)</f>
        <v>0</v>
      </c>
    </row>
    <row r="10" spans="1:6" hidden="1">
      <c r="A10" s="69" t="s">
        <v>121</v>
      </c>
      <c r="B10" s="63"/>
      <c r="C10" s="63"/>
      <c r="D10" s="63"/>
      <c r="E10" s="63"/>
      <c r="F10" s="62">
        <f>SUM(F6:F9)</f>
        <v>0</v>
      </c>
    </row>
    <row r="11" spans="1:6" hidden="1">
      <c r="A11" s="69" t="s">
        <v>107</v>
      </c>
      <c r="B11" s="63"/>
      <c r="C11" s="63">
        <v>1</v>
      </c>
      <c r="D11" s="63">
        <v>12</v>
      </c>
      <c r="E11" s="63">
        <v>1.0649999999999999</v>
      </c>
      <c r="F11" s="62">
        <f>ROUND(B11*C11*D11*E11,2)</f>
        <v>0</v>
      </c>
    </row>
    <row r="12" spans="1:6" ht="38.25" hidden="1">
      <c r="A12" s="69" t="s">
        <v>106</v>
      </c>
      <c r="B12" s="63"/>
      <c r="C12" s="63">
        <v>1</v>
      </c>
      <c r="D12" s="63">
        <v>1</v>
      </c>
      <c r="E12" s="63">
        <v>1</v>
      </c>
      <c r="F12" s="62">
        <f>ROUND(B12*C12*D12*E12,2)</f>
        <v>0</v>
      </c>
    </row>
    <row r="13" spans="1:6" hidden="1">
      <c r="A13" s="69"/>
      <c r="B13" s="63"/>
      <c r="C13" s="63"/>
      <c r="D13" s="63"/>
      <c r="E13" s="63"/>
      <c r="F13" s="62"/>
    </row>
    <row r="14" spans="1:6" hidden="1">
      <c r="A14" s="69"/>
      <c r="B14" s="63"/>
      <c r="C14" s="63"/>
      <c r="D14" s="63"/>
      <c r="E14" s="63"/>
      <c r="F14" s="62"/>
    </row>
    <row r="15" spans="1:6" hidden="1">
      <c r="A15" s="69"/>
      <c r="B15" s="63"/>
      <c r="C15" s="63"/>
      <c r="D15" s="63"/>
      <c r="E15" s="63"/>
      <c r="F15" s="62"/>
    </row>
    <row r="16" spans="1:6" hidden="1">
      <c r="A16" s="69"/>
      <c r="B16" s="63"/>
      <c r="C16" s="63"/>
      <c r="D16" s="63"/>
      <c r="E16" s="63"/>
      <c r="F16" s="62"/>
    </row>
    <row r="17" spans="1:6" hidden="1">
      <c r="A17" s="69"/>
      <c r="B17" s="63"/>
      <c r="C17" s="63"/>
      <c r="D17" s="63"/>
      <c r="E17" s="63"/>
      <c r="F17" s="62"/>
    </row>
    <row r="18" spans="1:6" hidden="1">
      <c r="A18" s="69"/>
      <c r="B18" s="63"/>
      <c r="C18" s="63"/>
      <c r="D18" s="63"/>
      <c r="E18" s="63"/>
      <c r="F18" s="62"/>
    </row>
    <row r="19" spans="1:6" hidden="1">
      <c r="A19" s="69"/>
      <c r="B19" s="63"/>
      <c r="C19" s="63"/>
      <c r="D19" s="63"/>
      <c r="E19" s="63"/>
      <c r="F19" s="62"/>
    </row>
    <row r="20" spans="1:6" hidden="1">
      <c r="A20" s="69"/>
      <c r="B20" s="63"/>
      <c r="C20" s="63"/>
      <c r="D20" s="63"/>
      <c r="E20" s="63"/>
      <c r="F20" s="62"/>
    </row>
    <row r="21" spans="1:6" hidden="1">
      <c r="A21" s="69"/>
      <c r="B21" s="63"/>
      <c r="C21" s="63"/>
      <c r="D21" s="63"/>
      <c r="E21" s="63"/>
      <c r="F21" s="62"/>
    </row>
    <row r="22" spans="1:6" ht="13.5" thickBot="1">
      <c r="A22" s="68"/>
      <c r="B22" s="61"/>
      <c r="C22" s="61"/>
      <c r="D22" s="61"/>
      <c r="E22" s="61"/>
      <c r="F22" s="60"/>
    </row>
    <row r="23" spans="1:6" ht="32.25" customHeight="1">
      <c r="A23" s="500" t="s">
        <v>120</v>
      </c>
      <c r="B23" s="501"/>
      <c r="C23" s="501"/>
      <c r="D23" s="501"/>
      <c r="E23" s="501"/>
      <c r="F23" s="501"/>
    </row>
    <row r="24" spans="1:6" ht="13.5" thickBot="1">
      <c r="A24" s="67"/>
    </row>
    <row r="25" spans="1:6" ht="25.5">
      <c r="A25" s="64"/>
      <c r="B25" s="109" t="s">
        <v>101</v>
      </c>
      <c r="C25" s="109" t="s">
        <v>100</v>
      </c>
      <c r="D25" s="109" t="s">
        <v>57</v>
      </c>
      <c r="E25" s="105" t="s">
        <v>56</v>
      </c>
      <c r="F25" s="110" t="s">
        <v>99</v>
      </c>
    </row>
    <row r="26" spans="1:6">
      <c r="A26" s="65" t="s">
        <v>119</v>
      </c>
      <c r="B26" s="112"/>
      <c r="C26" s="63"/>
      <c r="D26" s="63">
        <v>1</v>
      </c>
      <c r="E26" s="63">
        <v>1</v>
      </c>
      <c r="F26" s="62">
        <f>ROUND(B26*C26*D26*E26,2)</f>
        <v>0</v>
      </c>
    </row>
    <row r="27" spans="1:6">
      <c r="A27" s="65" t="s">
        <v>118</v>
      </c>
      <c r="B27" s="63"/>
      <c r="C27" s="63">
        <v>1</v>
      </c>
      <c r="D27" s="63">
        <v>1</v>
      </c>
      <c r="E27" s="63">
        <v>1</v>
      </c>
      <c r="F27" s="62">
        <f>ROUND(B27*C27*D27*E27,2)</f>
        <v>0</v>
      </c>
    </row>
    <row r="28" spans="1:6">
      <c r="A28" s="65" t="s">
        <v>263</v>
      </c>
      <c r="B28" s="63"/>
      <c r="C28" s="63">
        <v>1</v>
      </c>
      <c r="D28" s="63">
        <v>1</v>
      </c>
      <c r="E28" s="63">
        <v>1</v>
      </c>
      <c r="F28" s="62">
        <f>ROUND(B28*C28*D28*E28,2)</f>
        <v>0</v>
      </c>
    </row>
    <row r="29" spans="1:6" ht="13.5" thickBot="1">
      <c r="A29" s="10" t="s">
        <v>53</v>
      </c>
      <c r="B29" s="61"/>
      <c r="C29" s="61"/>
      <c r="D29" s="61"/>
      <c r="E29" s="61"/>
      <c r="F29" s="60">
        <f>F26+F27+F28</f>
        <v>0</v>
      </c>
    </row>
    <row r="30" spans="1:6">
      <c r="A30" s="67"/>
    </row>
    <row r="31" spans="1:6">
      <c r="A31" s="67"/>
    </row>
    <row r="32" spans="1:6" ht="37.5" customHeight="1">
      <c r="A32" s="502" t="s">
        <v>117</v>
      </c>
      <c r="B32" s="503"/>
      <c r="C32" s="503"/>
      <c r="D32" s="503"/>
      <c r="E32" s="503"/>
      <c r="F32" s="504"/>
    </row>
    <row r="33" spans="1:6">
      <c r="A33" s="66"/>
    </row>
    <row r="34" spans="1:6" ht="13.5" thickBot="1">
      <c r="A34" s="66"/>
    </row>
    <row r="35" spans="1:6" ht="51">
      <c r="A35" s="111"/>
      <c r="B35" s="109" t="s">
        <v>116</v>
      </c>
      <c r="C35" s="109" t="s">
        <v>115</v>
      </c>
      <c r="D35" s="109"/>
      <c r="E35" s="109"/>
      <c r="F35" s="110" t="s">
        <v>114</v>
      </c>
    </row>
    <row r="36" spans="1:6">
      <c r="A36" s="65" t="s">
        <v>113</v>
      </c>
      <c r="B36" s="63"/>
      <c r="C36" s="63">
        <v>1</v>
      </c>
      <c r="D36" s="63"/>
      <c r="E36" s="63"/>
      <c r="F36" s="62">
        <f>ROUND(B36*C36,2)</f>
        <v>0</v>
      </c>
    </row>
    <row r="37" spans="1:6" ht="13.5" thickBot="1">
      <c r="A37" s="19"/>
      <c r="B37" s="61"/>
      <c r="C37" s="61"/>
      <c r="D37" s="61"/>
      <c r="E37" s="61"/>
      <c r="F37" s="60">
        <f>ROUND(B37*C37*D37*E37,2)</f>
        <v>0</v>
      </c>
    </row>
    <row r="40" spans="1:6" ht="18.75">
      <c r="A40" s="497" t="s">
        <v>112</v>
      </c>
      <c r="B40" s="498"/>
      <c r="C40" s="498"/>
      <c r="D40" s="498"/>
      <c r="E40" s="498"/>
      <c r="F40" s="498"/>
    </row>
    <row r="41" spans="1:6" ht="13.5" thickBot="1"/>
    <row r="42" spans="1:6" ht="25.5">
      <c r="A42" s="108"/>
      <c r="B42" s="109" t="s">
        <v>101</v>
      </c>
      <c r="C42" s="109" t="s">
        <v>100</v>
      </c>
      <c r="D42" s="109" t="s">
        <v>57</v>
      </c>
      <c r="E42" s="105" t="s">
        <v>56</v>
      </c>
      <c r="F42" s="110" t="s">
        <v>99</v>
      </c>
    </row>
    <row r="43" spans="1:6">
      <c r="A43" s="12"/>
      <c r="B43" s="63"/>
      <c r="C43" s="63"/>
      <c r="D43" s="63"/>
      <c r="E43" s="63"/>
      <c r="F43" s="62">
        <f>ROUND(B43*C43*D43*E43,2)</f>
        <v>0</v>
      </c>
    </row>
    <row r="44" spans="1:6">
      <c r="A44" s="12"/>
      <c r="B44" s="63"/>
      <c r="C44" s="63"/>
      <c r="D44" s="63"/>
      <c r="E44" s="63"/>
      <c r="F44" s="62">
        <f>ROUND(B44*C44*D44*E44,2)</f>
        <v>0</v>
      </c>
    </row>
    <row r="45" spans="1:6" ht="13.5" thickBot="1">
      <c r="A45" s="10"/>
      <c r="B45" s="61"/>
      <c r="C45" s="61"/>
      <c r="D45" s="61"/>
      <c r="E45" s="61"/>
      <c r="F45" s="60">
        <f>ROUND(B45*C45*D45*E45,2)</f>
        <v>0</v>
      </c>
    </row>
    <row r="49" spans="1:82" s="1" customFormat="1" ht="15">
      <c r="A49" s="5" t="str">
        <f>пр.3!A79</f>
        <v xml:space="preserve">Директор </v>
      </c>
      <c r="B49" s="59"/>
      <c r="C49" s="495" t="str">
        <f>пр.3!C79</f>
        <v>Духанина Е.А.</v>
      </c>
      <c r="D49" s="496"/>
      <c r="E49" s="496"/>
      <c r="F49" s="5"/>
      <c r="G49" s="3"/>
      <c r="H49" s="2"/>
      <c r="I49" s="2"/>
      <c r="J49" s="2"/>
    </row>
    <row r="50" spans="1:82" s="1" customFormat="1">
      <c r="A50" s="56"/>
      <c r="B50" s="56"/>
      <c r="C50" s="56"/>
      <c r="D50" s="56"/>
      <c r="E50" s="4"/>
      <c r="G50" s="3"/>
      <c r="H50" s="2"/>
      <c r="I50" s="2"/>
      <c r="J50" s="24"/>
    </row>
    <row r="51" spans="1:82" s="1" customFormat="1" ht="15">
      <c r="A51" s="1" t="str">
        <f>пр.3!A81</f>
        <v xml:space="preserve">Гл.бухгалтер </v>
      </c>
      <c r="B51" s="56"/>
      <c r="C51" s="489" t="str">
        <f>пр.3!C81</f>
        <v>Варфоломеева Н.Ю.</v>
      </c>
      <c r="D51" s="471"/>
      <c r="E51" s="471"/>
      <c r="G51" s="3"/>
      <c r="H51" s="2"/>
      <c r="I51" s="2"/>
      <c r="J51" s="2"/>
    </row>
    <row r="52" spans="1:82" s="56" customFormat="1"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</row>
  </sheetData>
  <mergeCells count="7">
    <mergeCell ref="C49:E49"/>
    <mergeCell ref="C51:E51"/>
    <mergeCell ref="A40:F40"/>
    <mergeCell ref="E1:F1"/>
    <mergeCell ref="A2:F2"/>
    <mergeCell ref="A23:F23"/>
    <mergeCell ref="A32:F3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40"/>
  <sheetViews>
    <sheetView view="pageBreakPreview" zoomScaleNormal="100" zoomScaleSheetLayoutView="100" workbookViewId="0">
      <selection activeCell="A37" sqref="A37:E39"/>
    </sheetView>
  </sheetViews>
  <sheetFormatPr defaultColWidth="9.140625" defaultRowHeight="12.75"/>
  <cols>
    <col min="1" max="1" width="26.42578125" style="66" customWidth="1"/>
    <col min="2" max="2" width="9.42578125" style="66" customWidth="1"/>
    <col min="3" max="3" width="8.28515625" style="55" customWidth="1"/>
    <col min="4" max="4" width="13.5703125" style="55" customWidth="1"/>
    <col min="5" max="5" width="9.85546875" style="55" customWidth="1"/>
    <col min="6" max="6" width="13.7109375" style="55" customWidth="1"/>
    <col min="7" max="7" width="9.28515625" style="55" bestFit="1" customWidth="1"/>
    <col min="8" max="8" width="11.5703125" style="55" customWidth="1"/>
    <col min="9" max="9" width="11.7109375" style="55" bestFit="1" customWidth="1"/>
    <col min="10" max="16384" width="9.140625" style="55"/>
  </cols>
  <sheetData>
    <row r="1" spans="1:9">
      <c r="E1" s="499" t="s">
        <v>184</v>
      </c>
      <c r="F1" s="499"/>
      <c r="G1" s="143"/>
      <c r="H1" s="1"/>
    </row>
    <row r="2" spans="1:9" ht="15" customHeight="1">
      <c r="A2" s="505" t="s">
        <v>139</v>
      </c>
      <c r="B2" s="505"/>
      <c r="C2" s="505"/>
      <c r="D2" s="505"/>
      <c r="E2" s="505"/>
      <c r="F2" s="505"/>
      <c r="G2" s="147"/>
      <c r="H2" s="1"/>
    </row>
    <row r="3" spans="1:9">
      <c r="G3" s="1"/>
      <c r="H3" s="1"/>
    </row>
    <row r="4" spans="1:9" ht="13.5" thickBot="1">
      <c r="G4" s="1"/>
      <c r="H4" s="1"/>
    </row>
    <row r="5" spans="1:9" s="67" customFormat="1" ht="89.25">
      <c r="A5" s="111"/>
      <c r="B5" s="169" t="s">
        <v>138</v>
      </c>
      <c r="C5" s="109" t="s">
        <v>115</v>
      </c>
      <c r="D5" s="109" t="s">
        <v>137</v>
      </c>
      <c r="E5" s="109" t="s">
        <v>56</v>
      </c>
      <c r="F5" s="109" t="s">
        <v>136</v>
      </c>
      <c r="G5" s="105" t="s">
        <v>207</v>
      </c>
      <c r="H5" s="106" t="s">
        <v>136</v>
      </c>
    </row>
    <row r="6" spans="1:9" s="184" customFormat="1">
      <c r="A6" s="12" t="s">
        <v>135</v>
      </c>
      <c r="B6" s="79" t="s">
        <v>127</v>
      </c>
      <c r="C6" s="201">
        <v>211</v>
      </c>
      <c r="D6" s="248">
        <v>26.34</v>
      </c>
      <c r="E6" s="201">
        <v>1.0092748</v>
      </c>
      <c r="F6" s="202">
        <f>ROUND(C6*D6*E6,2)+5.264</f>
        <v>5614.5540000000001</v>
      </c>
      <c r="G6" s="161">
        <v>1</v>
      </c>
      <c r="H6" s="148">
        <f>ROUND(F6*G6,2)</f>
        <v>5614.55</v>
      </c>
      <c r="I6" s="249">
        <f>H6+H7+H8</f>
        <v>5614.55</v>
      </c>
    </row>
    <row r="7" spans="1:9" s="184" customFormat="1">
      <c r="A7" s="12" t="s">
        <v>135</v>
      </c>
      <c r="B7" s="79" t="s">
        <v>127</v>
      </c>
      <c r="C7" s="201"/>
      <c r="D7" s="248"/>
      <c r="E7" s="201"/>
      <c r="F7" s="202">
        <f>ROUND(C7*D7*E7,2)</f>
        <v>0</v>
      </c>
      <c r="G7" s="161">
        <v>1</v>
      </c>
      <c r="H7" s="148">
        <f t="shared" ref="H7:H26" si="0">ROUND(F7*G7,2)</f>
        <v>0</v>
      </c>
    </row>
    <row r="8" spans="1:9" s="184" customFormat="1">
      <c r="A8" s="12" t="s">
        <v>135</v>
      </c>
      <c r="B8" s="79" t="s">
        <v>127</v>
      </c>
      <c r="C8" s="248"/>
      <c r="D8" s="248"/>
      <c r="E8" s="248">
        <v>1</v>
      </c>
      <c r="F8" s="202">
        <f t="shared" ref="F8" si="1">ROUND(C8*D8*E8,2)</f>
        <v>0</v>
      </c>
      <c r="G8" s="161">
        <v>1</v>
      </c>
      <c r="H8" s="148">
        <f t="shared" ref="H8" si="2">ROUND(F8*G8,2)</f>
        <v>0</v>
      </c>
    </row>
    <row r="9" spans="1:9" s="184" customFormat="1">
      <c r="A9" s="12" t="s">
        <v>134</v>
      </c>
      <c r="B9" s="79" t="s">
        <v>127</v>
      </c>
      <c r="C9" s="311">
        <v>211</v>
      </c>
      <c r="D9" s="311">
        <v>17.32</v>
      </c>
      <c r="E9" s="311">
        <f>E6</f>
        <v>1.0092748</v>
      </c>
      <c r="F9" s="202">
        <f>ROUND(C9*D9*E9,2)+1-0.2798</f>
        <v>3689.1302000000001</v>
      </c>
      <c r="G9" s="161">
        <v>1</v>
      </c>
      <c r="H9" s="148">
        <f t="shared" si="0"/>
        <v>3689.13</v>
      </c>
      <c r="I9" s="249">
        <f>H9+H10+H11</f>
        <v>3689.13</v>
      </c>
    </row>
    <row r="10" spans="1:9" s="184" customFormat="1">
      <c r="A10" s="12" t="s">
        <v>134</v>
      </c>
      <c r="B10" s="79" t="s">
        <v>127</v>
      </c>
      <c r="C10" s="248"/>
      <c r="D10" s="248"/>
      <c r="E10" s="248">
        <v>1</v>
      </c>
      <c r="F10" s="202">
        <f>ROUND(C10*D10*E10,2)</f>
        <v>0</v>
      </c>
      <c r="G10" s="161">
        <v>1</v>
      </c>
      <c r="H10" s="148">
        <f t="shared" ref="H10" si="3">ROUND(F10*G10,2)</f>
        <v>0</v>
      </c>
    </row>
    <row r="11" spans="1:9" s="184" customFormat="1">
      <c r="A11" s="12" t="s">
        <v>134</v>
      </c>
      <c r="B11" s="79" t="s">
        <v>127</v>
      </c>
      <c r="C11" s="201"/>
      <c r="D11" s="201"/>
      <c r="E11" s="201">
        <v>1</v>
      </c>
      <c r="F11" s="202">
        <f>ROUND(C11*D11*E11,2)</f>
        <v>0</v>
      </c>
      <c r="G11" s="161">
        <v>1</v>
      </c>
      <c r="H11" s="148">
        <f t="shared" si="0"/>
        <v>0</v>
      </c>
    </row>
    <row r="12" spans="1:9" s="184" customFormat="1" ht="12.75" customHeight="1">
      <c r="A12" s="21" t="s">
        <v>133</v>
      </c>
      <c r="B12" s="151" t="s">
        <v>127</v>
      </c>
      <c r="C12" s="201"/>
      <c r="D12" s="248"/>
      <c r="E12" s="201">
        <v>1</v>
      </c>
      <c r="F12" s="202">
        <f t="shared" ref="F12" si="4">ROUND(C12*D12*E12,2)</f>
        <v>0</v>
      </c>
      <c r="G12" s="161">
        <v>1</v>
      </c>
      <c r="H12" s="148">
        <f t="shared" si="0"/>
        <v>0</v>
      </c>
      <c r="I12" s="249">
        <f>H12+H13+H14+H15+H16+H17</f>
        <v>0</v>
      </c>
    </row>
    <row r="13" spans="1:9" s="184" customFormat="1" ht="12.75" customHeight="1">
      <c r="A13" s="21" t="s">
        <v>133</v>
      </c>
      <c r="B13" s="151" t="s">
        <v>127</v>
      </c>
      <c r="C13" s="248"/>
      <c r="D13" s="248"/>
      <c r="E13" s="248">
        <v>1</v>
      </c>
      <c r="F13" s="202">
        <f>ROUND(C13*D13*E13,2)</f>
        <v>0</v>
      </c>
      <c r="G13" s="161">
        <v>1</v>
      </c>
      <c r="H13" s="148">
        <f t="shared" ref="H13" si="5">ROUND(F13*G13,2)</f>
        <v>0</v>
      </c>
    </row>
    <row r="14" spans="1:9" s="184" customFormat="1" ht="12.75" customHeight="1">
      <c r="A14" s="21" t="s">
        <v>133</v>
      </c>
      <c r="B14" s="151" t="s">
        <v>127</v>
      </c>
      <c r="C14" s="201"/>
      <c r="D14" s="248"/>
      <c r="E14" s="248">
        <v>1</v>
      </c>
      <c r="F14" s="202">
        <f t="shared" ref="F14" si="6">ROUND(C14*D14*E14,2)</f>
        <v>0</v>
      </c>
      <c r="G14" s="161">
        <v>1</v>
      </c>
      <c r="H14" s="148">
        <f t="shared" si="0"/>
        <v>0</v>
      </c>
    </row>
    <row r="15" spans="1:9" s="184" customFormat="1" ht="12.75" customHeight="1">
      <c r="A15" s="21" t="s">
        <v>133</v>
      </c>
      <c r="B15" s="151" t="s">
        <v>131</v>
      </c>
      <c r="C15" s="248"/>
      <c r="D15" s="248"/>
      <c r="E15" s="248">
        <v>1</v>
      </c>
      <c r="F15" s="202">
        <f t="shared" ref="F15:F16" si="7">ROUND(C15*D15*E15,2)</f>
        <v>0</v>
      </c>
      <c r="G15" s="161">
        <v>1</v>
      </c>
      <c r="H15" s="148">
        <f t="shared" ref="H15:H17" si="8">ROUND(F15*G15,2)</f>
        <v>0</v>
      </c>
    </row>
    <row r="16" spans="1:9" s="184" customFormat="1" ht="12.75" customHeight="1">
      <c r="A16" s="21" t="s">
        <v>133</v>
      </c>
      <c r="B16" s="151" t="s">
        <v>131</v>
      </c>
      <c r="C16" s="248"/>
      <c r="D16" s="248"/>
      <c r="E16" s="248">
        <v>1</v>
      </c>
      <c r="F16" s="202">
        <f t="shared" si="7"/>
        <v>0</v>
      </c>
      <c r="G16" s="161">
        <v>1</v>
      </c>
      <c r="H16" s="148">
        <f t="shared" si="8"/>
        <v>0</v>
      </c>
    </row>
    <row r="17" spans="1:9" s="184" customFormat="1" ht="12.75" customHeight="1">
      <c r="A17" s="21" t="s">
        <v>133</v>
      </c>
      <c r="B17" s="151" t="s">
        <v>131</v>
      </c>
      <c r="C17" s="248"/>
      <c r="D17" s="248"/>
      <c r="E17" s="248">
        <v>1</v>
      </c>
      <c r="F17" s="202">
        <f t="shared" ref="F17:F22" si="9">ROUND(C17*D17*E17,2)</f>
        <v>0</v>
      </c>
      <c r="G17" s="161">
        <v>1</v>
      </c>
      <c r="H17" s="148">
        <f t="shared" si="8"/>
        <v>0</v>
      </c>
    </row>
    <row r="18" spans="1:9" s="184" customFormat="1" ht="12.75" customHeight="1">
      <c r="A18" s="21" t="s">
        <v>132</v>
      </c>
      <c r="B18" s="151" t="s">
        <v>131</v>
      </c>
      <c r="C18" s="201">
        <v>134.30000000000001</v>
      </c>
      <c r="D18" s="248">
        <v>1821.88</v>
      </c>
      <c r="E18" s="201">
        <v>1</v>
      </c>
      <c r="F18" s="202">
        <f>ROUND(C18*D18*E18,2)+0.004</f>
        <v>244678.484</v>
      </c>
      <c r="G18" s="161">
        <v>1</v>
      </c>
      <c r="H18" s="148">
        <f t="shared" si="0"/>
        <v>244678.48</v>
      </c>
      <c r="I18" s="249">
        <f>H18+H19+H20</f>
        <v>334915.52</v>
      </c>
    </row>
    <row r="19" spans="1:9" s="184" customFormat="1" ht="12.75" customHeight="1">
      <c r="A19" s="21" t="s">
        <v>132</v>
      </c>
      <c r="B19" s="151" t="s">
        <v>131</v>
      </c>
      <c r="C19" s="201">
        <v>48.534370000000003</v>
      </c>
      <c r="D19" s="248">
        <v>1859.24</v>
      </c>
      <c r="E19" s="201">
        <v>1</v>
      </c>
      <c r="F19" s="202">
        <f>ROUND(C19*D19*E19,2)+0.004</f>
        <v>90237.043999999994</v>
      </c>
      <c r="G19" s="161">
        <v>1</v>
      </c>
      <c r="H19" s="148">
        <f>ROUND(F19*G19,2)</f>
        <v>90237.04</v>
      </c>
    </row>
    <row r="20" spans="1:9" s="184" customFormat="1" ht="12.75" customHeight="1">
      <c r="A20" s="21" t="s">
        <v>132</v>
      </c>
      <c r="B20" s="151" t="s">
        <v>131</v>
      </c>
      <c r="C20" s="201"/>
      <c r="D20" s="248"/>
      <c r="E20" s="201">
        <v>1</v>
      </c>
      <c r="F20" s="202">
        <f t="shared" si="9"/>
        <v>0</v>
      </c>
      <c r="G20" s="161">
        <v>1</v>
      </c>
      <c r="H20" s="148">
        <f t="shared" si="0"/>
        <v>0</v>
      </c>
    </row>
    <row r="21" spans="1:9" s="184" customFormat="1" ht="12.75" customHeight="1">
      <c r="A21" s="21" t="s">
        <v>130</v>
      </c>
      <c r="B21" s="151" t="s">
        <v>129</v>
      </c>
      <c r="C21" s="201">
        <v>8616</v>
      </c>
      <c r="D21" s="317">
        <f>F21/C21</f>
        <v>7.5007513927576603</v>
      </c>
      <c r="E21" s="201">
        <v>1</v>
      </c>
      <c r="F21" s="202">
        <v>64626.474000000002</v>
      </c>
      <c r="G21" s="161">
        <v>1</v>
      </c>
      <c r="H21" s="148">
        <f>ROUND(F21*G21,2)</f>
        <v>64626.47</v>
      </c>
      <c r="I21" s="249">
        <f>H21+H22</f>
        <v>64626.47</v>
      </c>
    </row>
    <row r="22" spans="1:9" s="184" customFormat="1" ht="12.75" customHeight="1">
      <c r="A22" s="21" t="s">
        <v>130</v>
      </c>
      <c r="B22" s="151" t="s">
        <v>129</v>
      </c>
      <c r="C22" s="248"/>
      <c r="D22" s="203"/>
      <c r="E22" s="248">
        <v>1</v>
      </c>
      <c r="F22" s="202">
        <f t="shared" si="9"/>
        <v>0</v>
      </c>
      <c r="G22" s="161">
        <v>1</v>
      </c>
      <c r="H22" s="148">
        <f>ROUND(F22*G22,2)</f>
        <v>0</v>
      </c>
    </row>
    <row r="23" spans="1:9" s="184" customFormat="1" ht="12.75" customHeight="1">
      <c r="A23" s="251"/>
      <c r="B23" s="252"/>
      <c r="C23" s="253"/>
      <c r="D23" s="250"/>
      <c r="E23" s="253">
        <v>1</v>
      </c>
      <c r="F23" s="202">
        <f t="shared" ref="F23" si="10">ROUND(C23*D23*E23,2)</f>
        <v>0</v>
      </c>
      <c r="G23" s="161">
        <v>1</v>
      </c>
      <c r="H23" s="148">
        <f t="shared" ref="H23" si="11">ROUND(F23*G23,2)</f>
        <v>0</v>
      </c>
    </row>
    <row r="24" spans="1:9" s="184" customFormat="1" ht="12.75" customHeight="1">
      <c r="A24" s="251" t="s">
        <v>343</v>
      </c>
      <c r="B24" s="252" t="s">
        <v>127</v>
      </c>
      <c r="C24" s="253">
        <v>114.84</v>
      </c>
      <c r="D24" s="250">
        <v>453.1</v>
      </c>
      <c r="E24" s="253">
        <v>1.0169999999999999</v>
      </c>
      <c r="F24" s="202">
        <f>ROUND(C24*D24*E24,2)-0.255</f>
        <v>52918.325000000004</v>
      </c>
      <c r="G24" s="161">
        <v>1</v>
      </c>
      <c r="H24" s="148">
        <f>ROUND(F24*G24,2)+0.004</f>
        <v>52918.334000000003</v>
      </c>
    </row>
    <row r="25" spans="1:9" s="184" customFormat="1" ht="12.75" customHeight="1">
      <c r="A25" s="251"/>
      <c r="B25" s="252"/>
      <c r="C25" s="253"/>
      <c r="D25" s="254"/>
      <c r="E25" s="253"/>
      <c r="F25" s="255"/>
      <c r="G25" s="256"/>
      <c r="H25" s="257"/>
    </row>
    <row r="26" spans="1:9" s="184" customFormat="1" ht="12.75" customHeight="1" thickBot="1">
      <c r="A26" s="19" t="s">
        <v>178</v>
      </c>
      <c r="B26" s="162"/>
      <c r="C26" s="73"/>
      <c r="D26" s="170"/>
      <c r="E26" s="73">
        <v>1</v>
      </c>
      <c r="F26" s="171">
        <f>ROUND(D26*E26,2)</f>
        <v>0</v>
      </c>
      <c r="G26" s="163">
        <v>1</v>
      </c>
      <c r="H26" s="164">
        <f t="shared" si="0"/>
        <v>0</v>
      </c>
    </row>
    <row r="27" spans="1:9" s="184" customFormat="1" ht="12.6" customHeight="1">
      <c r="A27" s="185"/>
      <c r="B27" s="186"/>
      <c r="C27" s="180"/>
      <c r="D27" s="180"/>
      <c r="E27" s="180"/>
      <c r="F27" s="181"/>
      <c r="G27" s="182"/>
      <c r="H27" s="183">
        <f>SUM(H6:H26)</f>
        <v>461764.00400000007</v>
      </c>
    </row>
    <row r="28" spans="1:9" s="184" customFormat="1" ht="12.75" hidden="1" customHeight="1">
      <c r="A28" s="185"/>
      <c r="B28" s="186"/>
      <c r="C28" s="180"/>
      <c r="D28" s="180"/>
      <c r="E28" s="180"/>
      <c r="F28" s="181"/>
      <c r="G28" s="182"/>
      <c r="H28" s="183"/>
    </row>
    <row r="29" spans="1:9" s="184" customFormat="1" hidden="1">
      <c r="A29" s="185"/>
      <c r="B29" s="186"/>
      <c r="C29" s="180"/>
      <c r="D29" s="180"/>
      <c r="E29" s="180"/>
      <c r="F29" s="181"/>
      <c r="G29" s="182"/>
      <c r="H29" s="183"/>
    </row>
    <row r="30" spans="1:9" s="184" customFormat="1" ht="12.75" hidden="1" customHeight="1">
      <c r="A30" s="185"/>
      <c r="B30" s="186"/>
      <c r="C30" s="187"/>
      <c r="D30" s="180"/>
      <c r="E30" s="180"/>
      <c r="F30" s="181"/>
      <c r="G30" s="182"/>
      <c r="H30" s="183"/>
    </row>
    <row r="31" spans="1:9" s="184" customFormat="1" hidden="1">
      <c r="A31" s="185"/>
      <c r="B31" s="186"/>
      <c r="C31" s="187"/>
      <c r="D31" s="180"/>
      <c r="E31" s="180"/>
      <c r="F31" s="181"/>
      <c r="G31" s="182"/>
      <c r="H31" s="183"/>
    </row>
    <row r="32" spans="1:9" s="184" customFormat="1" hidden="1">
      <c r="A32" s="185"/>
      <c r="B32" s="186"/>
      <c r="C32" s="180"/>
      <c r="D32" s="187"/>
      <c r="E32" s="180"/>
      <c r="F32" s="181"/>
      <c r="G32" s="182"/>
      <c r="H32" s="183"/>
    </row>
    <row r="33" spans="1:81" ht="13.5" hidden="1" thickBot="1">
      <c r="A33" s="19"/>
      <c r="B33" s="162"/>
      <c r="C33" s="73"/>
      <c r="D33" s="170"/>
      <c r="E33" s="73"/>
      <c r="F33" s="171"/>
      <c r="G33" s="163"/>
      <c r="H33" s="164"/>
    </row>
    <row r="34" spans="1:81" ht="0.6" customHeight="1" thickBot="1">
      <c r="A34" s="165" t="s">
        <v>128</v>
      </c>
      <c r="B34" s="166" t="s">
        <v>127</v>
      </c>
      <c r="C34" s="167"/>
      <c r="D34" s="167"/>
      <c r="E34" s="167"/>
      <c r="F34" s="168">
        <f>ROUND(C34*D34*E34,2)</f>
        <v>0</v>
      </c>
      <c r="G34" s="149"/>
      <c r="H34" s="1"/>
    </row>
    <row r="35" spans="1:81">
      <c r="F35" s="94"/>
      <c r="G35" s="150"/>
      <c r="H35" s="1"/>
    </row>
    <row r="36" spans="1:81">
      <c r="C36" s="72"/>
      <c r="G36" s="1"/>
      <c r="H36" s="1"/>
    </row>
    <row r="37" spans="1:81" s="1" customFormat="1" ht="15">
      <c r="A37" s="5" t="str">
        <f>пр.3!A79</f>
        <v xml:space="preserve">Директор </v>
      </c>
      <c r="B37" s="59"/>
      <c r="C37" s="495" t="str">
        <f>пр.3!C79</f>
        <v>Духанина Е.А.</v>
      </c>
      <c r="D37" s="496"/>
      <c r="E37" s="496"/>
      <c r="F37" s="5"/>
      <c r="G37" s="150"/>
      <c r="I37" s="2"/>
      <c r="J37" s="2"/>
    </row>
    <row r="38" spans="1:81" s="1" customFormat="1">
      <c r="A38" s="56"/>
      <c r="B38" s="56"/>
      <c r="C38" s="56"/>
      <c r="D38" s="56"/>
      <c r="E38" s="4"/>
      <c r="I38" s="2"/>
      <c r="J38" s="24"/>
    </row>
    <row r="39" spans="1:81" s="1" customFormat="1" ht="15">
      <c r="A39" s="1" t="str">
        <f>пр.3!A81</f>
        <v xml:space="preserve">Гл.бухгалтер </v>
      </c>
      <c r="B39" s="56"/>
      <c r="C39" s="489" t="str">
        <f>пр.3!C81</f>
        <v>Варфоломеева Н.Ю.</v>
      </c>
      <c r="D39" s="471"/>
      <c r="E39" s="471"/>
      <c r="G39" s="3"/>
      <c r="H39" s="3"/>
      <c r="I39" s="2"/>
      <c r="J39" s="2"/>
    </row>
    <row r="40" spans="1:81" s="56" customFormat="1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</row>
  </sheetData>
  <mergeCells count="4">
    <mergeCell ref="A2:F2"/>
    <mergeCell ref="E1:F1"/>
    <mergeCell ref="C37:E37"/>
    <mergeCell ref="C39:E39"/>
  </mergeCells>
  <pageMargins left="0" right="0" top="0.74803149606299213" bottom="0.74803149606299213" header="0.31496062992125984" footer="0.31496062992125984"/>
  <pageSetup paperSize="9" scale="97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>
      <selection activeCell="B11" sqref="B11"/>
    </sheetView>
  </sheetViews>
  <sheetFormatPr defaultColWidth="9.140625" defaultRowHeight="12.75"/>
  <cols>
    <col min="1" max="1" width="22.85546875" style="55" customWidth="1"/>
    <col min="2" max="2" width="20.28515625" style="55" customWidth="1"/>
    <col min="3" max="3" width="15.85546875" style="55" customWidth="1"/>
    <col min="4" max="4" width="25.140625" style="55" customWidth="1"/>
    <col min="5" max="5" width="7.85546875" style="55" customWidth="1"/>
    <col min="6" max="6" width="10.85546875" style="55" customWidth="1"/>
    <col min="7" max="7" width="8" style="55" customWidth="1"/>
    <col min="8" max="8" width="9.28515625" style="55" customWidth="1"/>
    <col min="9" max="16384" width="9.140625" style="55"/>
  </cols>
  <sheetData>
    <row r="1" spans="1:10" ht="15">
      <c r="D1" s="499" t="s">
        <v>142</v>
      </c>
      <c r="E1" s="506"/>
      <c r="F1" s="145"/>
    </row>
    <row r="2" spans="1:10" ht="18.75">
      <c r="A2" s="497" t="s">
        <v>141</v>
      </c>
      <c r="B2" s="499"/>
      <c r="C2" s="499"/>
      <c r="D2" s="499"/>
    </row>
    <row r="3" spans="1:10" ht="18.75">
      <c r="A3" s="144"/>
      <c r="B3" s="145"/>
      <c r="C3" s="145"/>
      <c r="D3" s="145"/>
    </row>
    <row r="4" spans="1:10" ht="19.5" thickBot="1">
      <c r="A4" s="144"/>
      <c r="B4" s="145"/>
      <c r="C4" s="145"/>
      <c r="D4" s="145"/>
    </row>
    <row r="5" spans="1:10" s="75" customFormat="1" ht="42" customHeight="1">
      <c r="A5" s="104" t="s">
        <v>182</v>
      </c>
      <c r="B5" s="105" t="s">
        <v>180</v>
      </c>
      <c r="C5" s="105" t="s">
        <v>181</v>
      </c>
      <c r="D5" s="106" t="s">
        <v>141</v>
      </c>
    </row>
    <row r="6" spans="1:10" ht="29.25" customHeight="1">
      <c r="A6" s="74" t="s">
        <v>140</v>
      </c>
      <c r="B6" s="152">
        <v>2694650</v>
      </c>
      <c r="C6" s="153">
        <v>2.1999999999999999E-2</v>
      </c>
      <c r="D6" s="154">
        <f>ROUND(B6*C6,0)</f>
        <v>59282</v>
      </c>
    </row>
    <row r="7" spans="1:10" ht="27.75" customHeight="1">
      <c r="A7" s="74" t="s">
        <v>183</v>
      </c>
      <c r="B7" s="152">
        <f>7883723.28+4190180-600</f>
        <v>12073303.280000001</v>
      </c>
      <c r="C7" s="153">
        <v>1.4999999999999999E-2</v>
      </c>
      <c r="D7" s="154">
        <f>ROUND(B7*C7,0)</f>
        <v>181100</v>
      </c>
    </row>
    <row r="8" spans="1:10" hidden="1">
      <c r="A8" s="129" t="s">
        <v>192</v>
      </c>
      <c r="B8" s="155"/>
      <c r="C8" s="156"/>
      <c r="D8" s="154">
        <f>ROUND(B8*C8,0)</f>
        <v>0</v>
      </c>
    </row>
    <row r="9" spans="1:10" hidden="1">
      <c r="A9" s="129" t="s">
        <v>191</v>
      </c>
      <c r="B9" s="155"/>
      <c r="C9" s="156"/>
      <c r="D9" s="154">
        <f>ROUND(B9*C9,0)</f>
        <v>0</v>
      </c>
    </row>
    <row r="10" spans="1:10" ht="13.5" hidden="1" thickBot="1">
      <c r="A10" s="128" t="s">
        <v>179</v>
      </c>
      <c r="B10" s="157"/>
      <c r="C10" s="158">
        <v>42</v>
      </c>
      <c r="D10" s="159">
        <f>ROUND(B10*C10,0)</f>
        <v>0</v>
      </c>
    </row>
    <row r="11" spans="1:10">
      <c r="D11" s="107">
        <f>D6+D7+D10</f>
        <v>240382</v>
      </c>
    </row>
    <row r="12" spans="1:10" ht="12.75" hidden="1" customHeight="1">
      <c r="A12" s="507" t="s">
        <v>139</v>
      </c>
      <c r="B12" s="507"/>
      <c r="C12" s="507"/>
      <c r="D12" s="507"/>
      <c r="E12" s="507"/>
      <c r="F12" s="507"/>
      <c r="G12" s="147"/>
      <c r="H12" s="1"/>
    </row>
    <row r="13" spans="1:10" s="1" customFormat="1" hidden="1">
      <c r="A13" s="48"/>
      <c r="B13" s="48"/>
      <c r="I13" s="2"/>
      <c r="J13" s="2"/>
    </row>
    <row r="14" spans="1:10" s="216" customFormat="1" ht="13.5" hidden="1" thickBot="1">
      <c r="A14" s="215"/>
      <c r="B14" s="215"/>
      <c r="I14" s="217"/>
      <c r="J14" s="218"/>
    </row>
    <row r="15" spans="1:10" s="216" customFormat="1" ht="127.5" hidden="1">
      <c r="A15" s="219"/>
      <c r="B15" s="220" t="s">
        <v>138</v>
      </c>
      <c r="C15" s="221" t="s">
        <v>115</v>
      </c>
      <c r="D15" s="221" t="s">
        <v>137</v>
      </c>
      <c r="E15" s="221" t="s">
        <v>56</v>
      </c>
      <c r="F15" s="221" t="s">
        <v>208</v>
      </c>
      <c r="G15" s="221" t="s">
        <v>209</v>
      </c>
      <c r="H15" s="222" t="s">
        <v>136</v>
      </c>
      <c r="I15" s="217"/>
      <c r="J15" s="217"/>
    </row>
    <row r="16" spans="1:10" s="227" customFormat="1" hidden="1">
      <c r="A16" s="223" t="s">
        <v>132</v>
      </c>
      <c r="B16" s="224" t="s">
        <v>131</v>
      </c>
      <c r="C16" s="224"/>
      <c r="D16" s="224"/>
      <c r="E16" s="224">
        <v>1</v>
      </c>
      <c r="F16" s="225">
        <f>пр.5!F19</f>
        <v>90237.043999999994</v>
      </c>
      <c r="G16" s="225">
        <v>0</v>
      </c>
      <c r="H16" s="226">
        <f>F16*G16</f>
        <v>0</v>
      </c>
    </row>
    <row r="17" spans="1:8" s="227" customFormat="1" ht="13.5" hidden="1" thickBot="1">
      <c r="A17" s="228" t="s">
        <v>130</v>
      </c>
      <c r="B17" s="229" t="s">
        <v>129</v>
      </c>
      <c r="C17" s="230"/>
      <c r="D17" s="229"/>
      <c r="E17" s="229">
        <v>1</v>
      </c>
      <c r="F17" s="230">
        <f>пр.5!F21</f>
        <v>64626.474000000002</v>
      </c>
      <c r="G17" s="230">
        <v>0</v>
      </c>
      <c r="H17" s="231">
        <f>F17*G17</f>
        <v>0</v>
      </c>
    </row>
    <row r="18" spans="1:8" hidden="1">
      <c r="A18" s="21" t="s">
        <v>132</v>
      </c>
      <c r="B18" s="151" t="s">
        <v>131</v>
      </c>
      <c r="C18" s="151"/>
      <c r="D18" s="151"/>
      <c r="E18" s="151">
        <v>1</v>
      </c>
      <c r="F18" s="161">
        <f>ROUND(C18*D18*E18,2)</f>
        <v>0</v>
      </c>
      <c r="G18" s="161">
        <v>0.5</v>
      </c>
      <c r="H18" s="148">
        <f>F18*G18</f>
        <v>0</v>
      </c>
    </row>
    <row r="19" spans="1:8" hidden="1">
      <c r="A19" s="21" t="s">
        <v>132</v>
      </c>
      <c r="B19" s="151" t="s">
        <v>131</v>
      </c>
      <c r="C19" s="151"/>
      <c r="D19" s="151"/>
      <c r="E19" s="151">
        <v>1</v>
      </c>
      <c r="F19" s="161">
        <f>ROUND(C19*D19*E19,2)</f>
        <v>0</v>
      </c>
      <c r="G19" s="161">
        <v>0.5</v>
      </c>
      <c r="H19" s="148">
        <f>F19*G19</f>
        <v>0</v>
      </c>
    </row>
    <row r="20" spans="1:8" ht="13.5" hidden="1" thickBot="1">
      <c r="A20" s="19" t="s">
        <v>130</v>
      </c>
      <c r="B20" s="162" t="s">
        <v>129</v>
      </c>
      <c r="C20" s="162"/>
      <c r="D20" s="162"/>
      <c r="E20" s="162">
        <v>1</v>
      </c>
      <c r="F20" s="163">
        <f>ROUND(D20*E20,2)</f>
        <v>0</v>
      </c>
      <c r="G20" s="163">
        <v>0.1</v>
      </c>
      <c r="H20" s="164">
        <f>F20*G20</f>
        <v>0</v>
      </c>
    </row>
    <row r="21" spans="1:8" ht="25.5" customHeight="1"/>
    <row r="22" spans="1:8" ht="15">
      <c r="A22" s="5" t="str">
        <f>пр.5!A37</f>
        <v xml:space="preserve">Директор </v>
      </c>
      <c r="B22" s="59"/>
      <c r="C22" s="318" t="str">
        <f>пр.5!C37</f>
        <v>Духанина Е.А.</v>
      </c>
      <c r="D22" s="470"/>
      <c r="E22" s="471"/>
      <c r="F22" s="5"/>
      <c r="G22" s="3"/>
      <c r="H22" s="2"/>
    </row>
    <row r="23" spans="1:8" ht="12.75" customHeight="1">
      <c r="A23" s="56"/>
      <c r="B23" s="56"/>
      <c r="C23" s="56"/>
      <c r="D23" s="56"/>
      <c r="E23" s="4"/>
      <c r="F23" s="1"/>
      <c r="G23" s="3"/>
      <c r="H23" s="2"/>
    </row>
    <row r="24" spans="1:8" ht="15">
      <c r="A24" s="1" t="str">
        <f>пр.5!A39</f>
        <v xml:space="preserve">Гл.бухгалтер </v>
      </c>
      <c r="B24" s="56"/>
      <c r="C24" s="103" t="str">
        <f>пр.5!C39</f>
        <v>Варфоломеева Н.Ю.</v>
      </c>
      <c r="D24" s="470"/>
      <c r="E24" s="471"/>
      <c r="F24" s="1"/>
      <c r="G24" s="3"/>
      <c r="H24" s="2"/>
    </row>
  </sheetData>
  <mergeCells count="5">
    <mergeCell ref="D22:E22"/>
    <mergeCell ref="D24:E24"/>
    <mergeCell ref="A2:D2"/>
    <mergeCell ref="D1:E1"/>
    <mergeCell ref="A12:F12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zoomScaleNormal="100" workbookViewId="0">
      <selection activeCell="C20" sqref="C20:C30"/>
    </sheetView>
  </sheetViews>
  <sheetFormatPr defaultColWidth="9.140625" defaultRowHeight="12.75"/>
  <cols>
    <col min="1" max="1" width="10.42578125" style="55" customWidth="1"/>
    <col min="2" max="2" width="7.5703125" style="55" customWidth="1"/>
    <col min="3" max="3" width="15.5703125" style="55" customWidth="1"/>
    <col min="4" max="4" width="18.140625" style="55" customWidth="1"/>
    <col min="5" max="5" width="15.140625" style="55" customWidth="1"/>
    <col min="6" max="6" width="8" style="55" customWidth="1"/>
    <col min="7" max="7" width="13.42578125" style="55" bestFit="1" customWidth="1"/>
    <col min="8" max="8" width="15.85546875" style="55" customWidth="1"/>
    <col min="9" max="10" width="13.42578125" style="55" customWidth="1"/>
    <col min="11" max="11" width="13.7109375" style="55" customWidth="1"/>
    <col min="12" max="12" width="13" style="55" customWidth="1"/>
    <col min="13" max="13" width="15.140625" style="55" customWidth="1"/>
    <col min="14" max="14" width="14.5703125" style="55" customWidth="1"/>
    <col min="15" max="15" width="11.28515625" style="55" customWidth="1"/>
    <col min="16" max="16" width="11.42578125" style="55" customWidth="1"/>
    <col min="17" max="17" width="9.140625" style="55"/>
    <col min="18" max="20" width="0" style="55" hidden="1" customWidth="1"/>
    <col min="21" max="16384" width="9.140625" style="55"/>
  </cols>
  <sheetData>
    <row r="1" spans="1:20" ht="15.75">
      <c r="F1" s="58"/>
      <c r="G1" s="58"/>
      <c r="H1" s="58"/>
      <c r="I1" s="57" t="s">
        <v>150</v>
      </c>
      <c r="J1" s="57"/>
      <c r="K1" s="57"/>
      <c r="L1" s="57"/>
      <c r="M1" s="57"/>
      <c r="N1" s="80"/>
      <c r="O1" s="57"/>
      <c r="P1" s="57"/>
      <c r="Q1" s="80"/>
      <c r="R1" s="80"/>
    </row>
    <row r="2" spans="1:20" ht="18">
      <c r="A2" s="512" t="s">
        <v>147</v>
      </c>
      <c r="B2" s="512"/>
      <c r="C2" s="512"/>
      <c r="D2" s="512"/>
      <c r="E2" s="512"/>
      <c r="F2" s="58"/>
      <c r="G2" s="58"/>
      <c r="H2" s="58"/>
      <c r="I2" s="510" t="s">
        <v>303</v>
      </c>
      <c r="J2" s="510"/>
      <c r="K2" s="510" t="s">
        <v>301</v>
      </c>
      <c r="L2" s="510"/>
      <c r="M2" s="510" t="s">
        <v>302</v>
      </c>
      <c r="N2" s="510"/>
      <c r="O2" s="57"/>
      <c r="R2" s="57" t="s">
        <v>204</v>
      </c>
      <c r="S2" s="57"/>
    </row>
    <row r="3" spans="1:20">
      <c r="F3" s="58"/>
      <c r="G3" s="58"/>
      <c r="H3" s="58"/>
      <c r="I3" s="57" t="s">
        <v>205</v>
      </c>
      <c r="J3" s="55" t="s">
        <v>292</v>
      </c>
      <c r="K3" s="57" t="s">
        <v>205</v>
      </c>
      <c r="L3" s="55" t="s">
        <v>292</v>
      </c>
      <c r="M3" s="57" t="s">
        <v>205</v>
      </c>
      <c r="N3" s="55" t="s">
        <v>292</v>
      </c>
      <c r="P3" s="57" t="s">
        <v>293</v>
      </c>
      <c r="R3" s="92" t="s">
        <v>151</v>
      </c>
      <c r="S3" s="92" t="s">
        <v>148</v>
      </c>
      <c r="T3" s="92" t="s">
        <v>149</v>
      </c>
    </row>
    <row r="4" spans="1:20" ht="18.75">
      <c r="C4" s="55" t="s">
        <v>85</v>
      </c>
      <c r="E4" s="191">
        <f>I4+J4+K4+L4+M4+N4</f>
        <v>201</v>
      </c>
      <c r="F4" s="58"/>
      <c r="G4" s="58" t="s">
        <v>144</v>
      </c>
      <c r="H4" s="58"/>
      <c r="I4" s="78">
        <v>70</v>
      </c>
      <c r="J4" s="78">
        <v>3</v>
      </c>
      <c r="K4" s="78">
        <v>97</v>
      </c>
      <c r="L4" s="78">
        <v>8</v>
      </c>
      <c r="M4" s="78">
        <v>23</v>
      </c>
      <c r="N4" s="78">
        <v>0</v>
      </c>
      <c r="O4" s="78"/>
      <c r="P4" s="232" t="e">
        <f>#REF!</f>
        <v>#REF!</v>
      </c>
      <c r="Q4" s="57"/>
      <c r="R4" s="95"/>
      <c r="S4" s="95"/>
      <c r="T4" s="95"/>
    </row>
    <row r="5" spans="1:20">
      <c r="A5" s="63" t="s">
        <v>75</v>
      </c>
      <c r="B5" s="63" t="s">
        <v>146</v>
      </c>
      <c r="C5" s="63" t="s">
        <v>145</v>
      </c>
      <c r="D5" s="63" t="s">
        <v>55</v>
      </c>
      <c r="E5" s="63" t="s">
        <v>144</v>
      </c>
      <c r="F5" s="58"/>
      <c r="G5" s="58"/>
      <c r="H5" s="58"/>
      <c r="I5" s="142"/>
      <c r="J5" s="142"/>
      <c r="K5" s="142"/>
      <c r="L5" s="142"/>
      <c r="M5" s="142"/>
      <c r="N5" s="142"/>
      <c r="O5" s="142"/>
      <c r="P5" s="57"/>
      <c r="Q5" s="57"/>
      <c r="R5" s="92"/>
      <c r="S5" s="92"/>
      <c r="T5" s="92"/>
    </row>
    <row r="6" spans="1:20" s="83" customFormat="1">
      <c r="A6" s="89"/>
      <c r="B6" s="89"/>
      <c r="C6" s="90">
        <f>SUM(C17:C32)</f>
        <v>11065441</v>
      </c>
      <c r="D6" s="90">
        <f t="shared" ref="D6:E6" si="0">SUM(D17:D32)</f>
        <v>11065441.004000001</v>
      </c>
      <c r="E6" s="90">
        <f t="shared" si="0"/>
        <v>-4.0000000735744834E-3</v>
      </c>
      <c r="F6" s="85"/>
      <c r="G6" s="85"/>
      <c r="H6" s="85"/>
      <c r="I6" s="95"/>
      <c r="J6" s="95"/>
      <c r="K6" s="95"/>
      <c r="L6" s="95"/>
      <c r="M6" s="95"/>
      <c r="N6" s="95"/>
      <c r="O6" s="95"/>
      <c r="P6" s="57" t="s">
        <v>157</v>
      </c>
      <c r="Q6" s="57"/>
      <c r="R6" s="92"/>
      <c r="S6" s="92"/>
      <c r="T6" s="92"/>
    </row>
    <row r="7" spans="1:20" s="83" customFormat="1">
      <c r="A7" s="89">
        <v>211</v>
      </c>
      <c r="B7" s="88" t="s">
        <v>143</v>
      </c>
      <c r="C7" s="87">
        <f>5811980+26031</f>
        <v>5838011</v>
      </c>
      <c r="D7" s="190">
        <f>'пр.1+2 '!F38+'пр.1+2 '!F90</f>
        <v>5838011</v>
      </c>
      <c r="E7" s="190">
        <f t="shared" ref="E7:E32" si="1">C7-D7</f>
        <v>0</v>
      </c>
      <c r="F7" s="58"/>
      <c r="G7" s="58"/>
      <c r="H7" s="84">
        <f>K6*K7</f>
        <v>0</v>
      </c>
      <c r="I7" s="213">
        <f>C17/E4*I4</f>
        <v>2755746.0696517411</v>
      </c>
      <c r="J7" s="213">
        <f>C17/E4*J4</f>
        <v>118103.40298507462</v>
      </c>
      <c r="K7" s="213">
        <f>C17/E4*K4</f>
        <v>3818676.696517413</v>
      </c>
      <c r="L7" s="213">
        <f>C17/E4*L4</f>
        <v>314942.40796019899</v>
      </c>
      <c r="M7" s="213">
        <f>C17/E4*M4</f>
        <v>905459.42288557207</v>
      </c>
      <c r="N7" s="213">
        <f>C17/E4*N4</f>
        <v>0</v>
      </c>
      <c r="O7" s="209"/>
      <c r="P7" s="57" t="s">
        <v>156</v>
      </c>
      <c r="Q7" s="57"/>
      <c r="R7" s="92"/>
      <c r="S7" s="92"/>
      <c r="T7" s="92"/>
    </row>
    <row r="8" spans="1:20" s="83" customFormat="1">
      <c r="A8" s="89">
        <v>213</v>
      </c>
      <c r="B8" s="88" t="s">
        <v>143</v>
      </c>
      <c r="C8" s="87">
        <v>1763079</v>
      </c>
      <c r="D8" s="190">
        <f>'пр.1+2 '!G38+'пр.1+2 '!G90</f>
        <v>1763079</v>
      </c>
      <c r="E8" s="190">
        <f t="shared" si="1"/>
        <v>0</v>
      </c>
      <c r="F8" s="84"/>
      <c r="G8" s="84"/>
      <c r="H8" s="84">
        <f>I8*$I$4+J8*$J$4+K8*$K$4+L8*$L$4+M8*$M$4+N8*$N$4+O8*$O$4</f>
        <v>0</v>
      </c>
      <c r="I8" s="211"/>
      <c r="J8" s="211"/>
      <c r="K8" s="211"/>
      <c r="L8" s="211"/>
      <c r="M8" s="211"/>
      <c r="N8" s="211"/>
      <c r="O8" s="236">
        <f>IF(O4=0,0,ROUND((R8*R4+S8*S4+T8*T4)/O4,0))</f>
        <v>0</v>
      </c>
      <c r="P8" s="57" t="s">
        <v>154</v>
      </c>
      <c r="Q8" s="57"/>
      <c r="R8" s="211">
        <f>J8</f>
        <v>0</v>
      </c>
      <c r="S8" s="211">
        <f>L8</f>
        <v>0</v>
      </c>
      <c r="T8" s="211">
        <f>N8</f>
        <v>0</v>
      </c>
    </row>
    <row r="9" spans="1:20" s="83" customFormat="1">
      <c r="A9" s="89">
        <v>221</v>
      </c>
      <c r="B9" s="88" t="s">
        <v>143</v>
      </c>
      <c r="C9" s="87">
        <v>60000</v>
      </c>
      <c r="D9" s="86">
        <f>'пр.1+2 '!D44:E44</f>
        <v>60000</v>
      </c>
      <c r="E9" s="81">
        <f t="shared" si="1"/>
        <v>0</v>
      </c>
      <c r="F9" s="84"/>
      <c r="G9" s="84"/>
      <c r="H9" s="84">
        <f>I9*$I$4+J9*$J$4+K9*$K$4+L9*$L$4+M9*$M$4+N9*$N$4+O9*$O$4</f>
        <v>0</v>
      </c>
      <c r="I9" s="211"/>
      <c r="J9" s="211"/>
      <c r="K9" s="241"/>
      <c r="L9" s="242"/>
      <c r="M9" s="241"/>
      <c r="N9" s="242"/>
      <c r="O9" s="236">
        <f>IF(O4=0,0,ROUND((R9*R4+S9*S4+T9*T4)/O4,0))</f>
        <v>0</v>
      </c>
      <c r="P9" s="57" t="s">
        <v>155</v>
      </c>
      <c r="Q9" s="57"/>
      <c r="R9" s="211">
        <f>J9</f>
        <v>0</v>
      </c>
      <c r="S9" s="212">
        <f>L9</f>
        <v>0</v>
      </c>
      <c r="T9" s="212">
        <f>N9</f>
        <v>0</v>
      </c>
    </row>
    <row r="10" spans="1:20" s="83" customFormat="1">
      <c r="A10" s="89" t="s">
        <v>294</v>
      </c>
      <c r="B10" s="88" t="s">
        <v>143</v>
      </c>
      <c r="C10" s="93">
        <v>8708</v>
      </c>
      <c r="D10" s="86">
        <f>'пр.1+2 '!D42:E42</f>
        <v>8708</v>
      </c>
      <c r="E10" s="81">
        <f t="shared" si="1"/>
        <v>0</v>
      </c>
      <c r="F10" s="84">
        <f>ROUND(C10/E4,2)</f>
        <v>43.32</v>
      </c>
      <c r="G10" s="84"/>
      <c r="H10" s="84">
        <f>I10*$I$4+J10*$J$4+K10*$K$4+L10*$L$4+M10*$M$4+N10*$N$4+O10*$O$4</f>
        <v>8707.32</v>
      </c>
      <c r="I10" s="55">
        <f>$F$10</f>
        <v>43.32</v>
      </c>
      <c r="J10" s="55">
        <f t="shared" ref="J10:O10" si="2">$F$10</f>
        <v>43.32</v>
      </c>
      <c r="K10" s="55">
        <f t="shared" si="2"/>
        <v>43.32</v>
      </c>
      <c r="L10" s="55">
        <f t="shared" si="2"/>
        <v>43.32</v>
      </c>
      <c r="M10" s="55">
        <f t="shared" si="2"/>
        <v>43.32</v>
      </c>
      <c r="N10" s="55">
        <f t="shared" si="2"/>
        <v>43.32</v>
      </c>
      <c r="O10" s="55">
        <f t="shared" si="2"/>
        <v>43.32</v>
      </c>
      <c r="P10" s="57"/>
      <c r="Q10" s="57"/>
      <c r="R10" s="57"/>
      <c r="S10" s="57"/>
      <c r="T10" s="57"/>
    </row>
    <row r="11" spans="1:20" s="83" customFormat="1">
      <c r="A11" s="89">
        <v>226</v>
      </c>
      <c r="B11" s="88" t="s">
        <v>143</v>
      </c>
      <c r="C11" s="237">
        <v>34000</v>
      </c>
      <c r="D11" s="86">
        <f>'пр.1+2 '!D43</f>
        <v>34000</v>
      </c>
      <c r="E11" s="81">
        <f t="shared" si="1"/>
        <v>0</v>
      </c>
      <c r="F11" s="84"/>
      <c r="G11" s="84"/>
      <c r="H11" s="84">
        <f t="shared" ref="H11" si="3">I11*$I$4+J11*$J$4+K11*$K$4+L11*$L$4+M11*$M$4+N11*$N$4+O11*$O$4</f>
        <v>0</v>
      </c>
      <c r="I11" s="141"/>
      <c r="J11" s="141"/>
      <c r="K11" s="141"/>
      <c r="L11" s="141"/>
      <c r="M11" s="141"/>
      <c r="N11" s="141"/>
      <c r="O11" s="141"/>
      <c r="P11" s="57"/>
      <c r="Q11" s="57"/>
      <c r="R11" s="57"/>
      <c r="S11" s="57"/>
      <c r="T11" s="57"/>
    </row>
    <row r="12" spans="1:20" s="83" customFormat="1">
      <c r="A12" s="89">
        <v>310</v>
      </c>
      <c r="B12" s="88" t="s">
        <v>143</v>
      </c>
      <c r="C12" s="87">
        <v>10000</v>
      </c>
      <c r="D12" s="86">
        <f>'пр.1+2 '!D45:E45</f>
        <v>10000</v>
      </c>
      <c r="E12" s="81">
        <f t="shared" si="1"/>
        <v>0</v>
      </c>
      <c r="F12" s="84"/>
      <c r="G12" s="85"/>
      <c r="I12" s="312">
        <v>70</v>
      </c>
      <c r="J12" s="312">
        <v>97</v>
      </c>
      <c r="K12" s="312">
        <v>23</v>
      </c>
      <c r="L12" s="312">
        <v>3</v>
      </c>
      <c r="M12" s="312">
        <v>8</v>
      </c>
      <c r="N12" s="313">
        <v>0</v>
      </c>
      <c r="O12" s="57"/>
      <c r="P12" s="57"/>
      <c r="Q12" s="57"/>
      <c r="R12" s="57"/>
    </row>
    <row r="13" spans="1:20" s="83" customFormat="1">
      <c r="A13" s="89" t="s">
        <v>245</v>
      </c>
      <c r="B13" s="88"/>
      <c r="C13" s="87">
        <v>195440</v>
      </c>
      <c r="D13" s="86">
        <f>'пр.1+2 '!D46:E46</f>
        <v>195440</v>
      </c>
      <c r="E13" s="81">
        <f t="shared" si="1"/>
        <v>0</v>
      </c>
      <c r="F13" s="84"/>
      <c r="G13" s="85"/>
      <c r="N13" s="55"/>
      <c r="O13" s="57"/>
      <c r="P13" s="57"/>
      <c r="Q13" s="57"/>
      <c r="R13" s="57"/>
    </row>
    <row r="14" spans="1:20" s="83" customFormat="1">
      <c r="A14" s="239" t="s">
        <v>244</v>
      </c>
      <c r="B14" s="88" t="s">
        <v>143</v>
      </c>
      <c r="C14" s="87">
        <v>3690</v>
      </c>
      <c r="D14" s="86">
        <f>'пр.1+2 '!D47:E47</f>
        <v>3690</v>
      </c>
      <c r="E14" s="81">
        <f t="shared" si="1"/>
        <v>0</v>
      </c>
      <c r="F14" s="84"/>
      <c r="G14" s="84"/>
    </row>
    <row r="15" spans="1:20" s="83" customFormat="1">
      <c r="A15" s="240" t="s">
        <v>214</v>
      </c>
      <c r="B15" s="88"/>
      <c r="C15" s="87"/>
      <c r="D15" s="86">
        <f>'пр.1+2 '!D96:E96</f>
        <v>0</v>
      </c>
      <c r="E15" s="81">
        <f t="shared" si="1"/>
        <v>0</v>
      </c>
      <c r="F15" s="84"/>
      <c r="G15" s="84"/>
    </row>
    <row r="16" spans="1:20" s="83" customFormat="1">
      <c r="A16" s="240" t="s">
        <v>215</v>
      </c>
      <c r="B16" s="88"/>
      <c r="C16" s="87"/>
      <c r="D16" s="86">
        <f>'пр.1+2 '!D97:E97</f>
        <v>0</v>
      </c>
      <c r="E16" s="81">
        <f t="shared" si="1"/>
        <v>0</v>
      </c>
      <c r="F16" s="84"/>
      <c r="G16" s="84"/>
    </row>
    <row r="17" spans="1:21" s="83" customFormat="1" ht="13.5" thickBot="1">
      <c r="A17" s="89"/>
      <c r="B17" s="88"/>
      <c r="C17" s="96">
        <f>SUM(C7:C16)</f>
        <v>7912928</v>
      </c>
      <c r="D17" s="96">
        <f>SUM(D7:D16)</f>
        <v>7912928</v>
      </c>
      <c r="E17" s="96">
        <f>SUM(E7:E14)</f>
        <v>0</v>
      </c>
      <c r="F17" s="84"/>
      <c r="G17" s="85">
        <f>H17-C17</f>
        <v>-7904220.6799999997</v>
      </c>
      <c r="H17" s="84">
        <f>I17*$I$4+J4*$J$17+K17*$K$4+L17*$L$4+M17*$M$4+N17*$N$4+O17*$O$4</f>
        <v>8707.32</v>
      </c>
      <c r="I17" s="77">
        <f>ROUND(IF(I4=0,0,I8+I9+I10)+IF(I6=0,0,I7/I4),2)</f>
        <v>43.32</v>
      </c>
      <c r="J17" s="77">
        <f t="shared" ref="J17:O17" si="4">ROUND(IF(J4=0,0,J8+J9+J10)+IF(J6=0,0,J7/J4),2)</f>
        <v>43.32</v>
      </c>
      <c r="K17" s="77">
        <f>ROUND(IF(K4=0,0,K8+K9+K10)+IF(K6=0,0,K7/K4),2)</f>
        <v>43.32</v>
      </c>
      <c r="L17" s="77">
        <f t="shared" si="4"/>
        <v>43.32</v>
      </c>
      <c r="M17" s="77">
        <f t="shared" si="4"/>
        <v>43.32</v>
      </c>
      <c r="N17" s="77">
        <f t="shared" si="4"/>
        <v>0</v>
      </c>
      <c r="O17" s="77">
        <f t="shared" si="4"/>
        <v>0</v>
      </c>
      <c r="P17" s="140"/>
    </row>
    <row r="18" spans="1:21" s="83" customFormat="1">
      <c r="A18" s="89"/>
      <c r="B18" s="88"/>
      <c r="C18" s="96"/>
      <c r="D18" s="96"/>
      <c r="E18" s="96"/>
      <c r="F18" s="84"/>
      <c r="G18" s="85"/>
      <c r="H18" s="84" t="s">
        <v>159</v>
      </c>
      <c r="I18" s="83">
        <f>-ROUND($G$17/$E$4,2)</f>
        <v>39324.480000000003</v>
      </c>
      <c r="J18" s="83">
        <f>-ROUND($G$17/$E$4,2)</f>
        <v>39324.480000000003</v>
      </c>
      <c r="K18" s="83">
        <f t="shared" ref="K18:O18" si="5">-ROUND($G$17/$E$4,2)</f>
        <v>39324.480000000003</v>
      </c>
      <c r="L18" s="83">
        <f t="shared" si="5"/>
        <v>39324.480000000003</v>
      </c>
      <c r="M18" s="83">
        <f t="shared" si="5"/>
        <v>39324.480000000003</v>
      </c>
      <c r="N18" s="83">
        <f t="shared" si="5"/>
        <v>39324.480000000003</v>
      </c>
      <c r="O18" s="83">
        <f t="shared" si="5"/>
        <v>39324.480000000003</v>
      </c>
    </row>
    <row r="19" spans="1:21" s="83" customFormat="1">
      <c r="A19" s="89"/>
      <c r="B19" s="88"/>
      <c r="C19" s="96" t="s">
        <v>295</v>
      </c>
      <c r="D19" s="96"/>
      <c r="E19" s="96"/>
      <c r="F19" s="84"/>
      <c r="G19" s="85">
        <f>C17-H19</f>
        <v>0.19999999925494194</v>
      </c>
      <c r="H19" s="84">
        <f>I19*$I$4+J19*$J$4+K19*$K$4+L19*$L$4+M19*$M$4+N19*$N$4+O19*$O$4</f>
        <v>7912927.8000000007</v>
      </c>
      <c r="I19" s="83">
        <f>I17+I18</f>
        <v>39367.800000000003</v>
      </c>
      <c r="J19" s="83">
        <f>J17+J18</f>
        <v>39367.800000000003</v>
      </c>
      <c r="K19" s="83">
        <f t="shared" ref="K19:O19" si="6">K17+K18</f>
        <v>39367.800000000003</v>
      </c>
      <c r="L19" s="83">
        <f t="shared" si="6"/>
        <v>39367.800000000003</v>
      </c>
      <c r="M19" s="83">
        <f t="shared" si="6"/>
        <v>39367.800000000003</v>
      </c>
      <c r="N19" s="83">
        <f t="shared" si="6"/>
        <v>39324.480000000003</v>
      </c>
      <c r="O19" s="83">
        <f t="shared" si="6"/>
        <v>39324.480000000003</v>
      </c>
    </row>
    <row r="20" spans="1:21">
      <c r="A20" s="63">
        <v>211</v>
      </c>
      <c r="B20" s="63">
        <v>901</v>
      </c>
      <c r="C20" s="87">
        <f>1280072+7748+147214-6686</f>
        <v>1428348</v>
      </c>
      <c r="D20" s="189">
        <f>'пр.1+2 '!F9+'пр.1+2 '!F72</f>
        <v>1428348</v>
      </c>
      <c r="E20" s="189">
        <f t="shared" si="1"/>
        <v>0</v>
      </c>
      <c r="F20" s="84">
        <f>ROUND(C20/$E$4,2)</f>
        <v>7106.21</v>
      </c>
      <c r="G20" s="85">
        <f>H20-C20</f>
        <v>0.2099999999627471</v>
      </c>
      <c r="H20" s="84">
        <f t="shared" ref="H20:H32" si="7">I20*$I$4+J20*$J$4+K20*$K$4+L20*$L$4+M20*$M$4+N20*$N$4+O20*$O$4</f>
        <v>1428348.21</v>
      </c>
      <c r="I20" s="55">
        <f>IF($I$4=0,0,F20)</f>
        <v>7106.21</v>
      </c>
      <c r="J20" s="55">
        <f>IF($J$4=0,0,F20)</f>
        <v>7106.21</v>
      </c>
      <c r="K20" s="55">
        <f>IF($K$4=0,0,F20)</f>
        <v>7106.21</v>
      </c>
      <c r="L20" s="55">
        <f>IF($L$4=0,0,F20)</f>
        <v>7106.21</v>
      </c>
      <c r="M20" s="55">
        <f>IF($M$4=0,0,F20)</f>
        <v>7106.21</v>
      </c>
      <c r="N20" s="55">
        <f>IF($N$4=0,0,F20)</f>
        <v>0</v>
      </c>
      <c r="O20" s="55">
        <f>IF($O$4=0,0,F20)</f>
        <v>0</v>
      </c>
      <c r="R20" s="57"/>
      <c r="S20" s="57"/>
      <c r="T20" s="57"/>
      <c r="U20" s="57"/>
    </row>
    <row r="21" spans="1:21">
      <c r="A21" s="63">
        <v>266</v>
      </c>
      <c r="B21" s="63">
        <v>901</v>
      </c>
      <c r="C21" s="87"/>
      <c r="D21" s="189">
        <f>'пр.1+2 '!D75</f>
        <v>0</v>
      </c>
      <c r="E21" s="189">
        <f t="shared" si="1"/>
        <v>0</v>
      </c>
      <c r="F21" s="84">
        <f t="shared" ref="F21:F32" si="8">ROUND(C21/$E$4,2)</f>
        <v>0</v>
      </c>
      <c r="G21" s="85">
        <f t="shared" ref="G21:G32" si="9">H21-C21</f>
        <v>0</v>
      </c>
      <c r="H21" s="84">
        <f>I21*$I$4+J21*$J$4+K21*$K$4+L21*$L$4+M21*$M$4+N21*$N$4+O21*$O$4</f>
        <v>0</v>
      </c>
      <c r="I21" s="55">
        <f t="shared" ref="I21:I32" si="10">IF($I$4=0,0,F21)</f>
        <v>0</v>
      </c>
      <c r="J21" s="55">
        <f t="shared" ref="J21:J32" si="11">IF($J$4=0,0,F21)</f>
        <v>0</v>
      </c>
      <c r="K21" s="55">
        <f t="shared" ref="K21:K32" si="12">IF($K$4=0,0,I21)</f>
        <v>0</v>
      </c>
      <c r="L21" s="55">
        <f t="shared" ref="L21:L32" si="13">IF($L$4=0,0,F21)</f>
        <v>0</v>
      </c>
      <c r="M21" s="55">
        <f t="shared" ref="M21:M32" si="14">IF($M$4=0,0,F21)</f>
        <v>0</v>
      </c>
      <c r="N21" s="55">
        <f t="shared" ref="N21:N32" si="15">IF($N$4=0,0,F21)</f>
        <v>0</v>
      </c>
      <c r="O21" s="55">
        <f t="shared" ref="O21:O32" si="16">IF($O$4=0,0,F21)</f>
        <v>0</v>
      </c>
      <c r="R21" s="57"/>
      <c r="S21" s="57"/>
      <c r="T21" s="57"/>
      <c r="U21" s="57"/>
    </row>
    <row r="22" spans="1:21">
      <c r="A22" s="63">
        <v>213</v>
      </c>
      <c r="B22" s="63">
        <v>901</v>
      </c>
      <c r="C22" s="87">
        <f>386582+2340+44459-2019</f>
        <v>431362</v>
      </c>
      <c r="D22" s="189">
        <f>'пр.1+2 '!G9+'пр.1+2 '!G72</f>
        <v>431362</v>
      </c>
      <c r="E22" s="189">
        <f t="shared" si="1"/>
        <v>0</v>
      </c>
      <c r="F22" s="84">
        <f>ROUND((C22+C31+C32)/$E$4,2)</f>
        <v>2146.08</v>
      </c>
      <c r="G22" s="85">
        <f t="shared" si="9"/>
        <v>7.9999999958090484E-2</v>
      </c>
      <c r="H22" s="84">
        <f t="shared" si="7"/>
        <v>431362.07999999996</v>
      </c>
      <c r="I22" s="55">
        <f t="shared" si="10"/>
        <v>2146.08</v>
      </c>
      <c r="J22" s="55">
        <f t="shared" si="11"/>
        <v>2146.08</v>
      </c>
      <c r="K22" s="55">
        <f t="shared" si="12"/>
        <v>2146.08</v>
      </c>
      <c r="L22" s="55">
        <f t="shared" si="13"/>
        <v>2146.08</v>
      </c>
      <c r="M22" s="55">
        <f t="shared" si="14"/>
        <v>2146.08</v>
      </c>
      <c r="N22" s="55">
        <f t="shared" si="15"/>
        <v>0</v>
      </c>
      <c r="O22" s="55">
        <f t="shared" si="16"/>
        <v>0</v>
      </c>
    </row>
    <row r="23" spans="1:21">
      <c r="A23" s="63">
        <v>221</v>
      </c>
      <c r="B23" s="63">
        <v>901</v>
      </c>
      <c r="C23" s="82">
        <v>22233</v>
      </c>
      <c r="D23" s="81">
        <f>пр.3!F40</f>
        <v>22233</v>
      </c>
      <c r="E23" s="81">
        <f t="shared" si="1"/>
        <v>0</v>
      </c>
      <c r="F23" s="84">
        <f t="shared" si="8"/>
        <v>110.61</v>
      </c>
      <c r="G23" s="85">
        <f t="shared" si="9"/>
        <v>-0.38999999999941792</v>
      </c>
      <c r="H23" s="84">
        <f t="shared" si="7"/>
        <v>22232.61</v>
      </c>
      <c r="I23" s="55">
        <f t="shared" si="10"/>
        <v>110.61</v>
      </c>
      <c r="J23" s="55">
        <f t="shared" si="11"/>
        <v>110.61</v>
      </c>
      <c r="K23" s="55">
        <f t="shared" si="12"/>
        <v>110.61</v>
      </c>
      <c r="L23" s="55">
        <f t="shared" si="13"/>
        <v>110.61</v>
      </c>
      <c r="M23" s="55">
        <f t="shared" si="14"/>
        <v>110.61</v>
      </c>
      <c r="N23" s="55">
        <f t="shared" si="15"/>
        <v>0</v>
      </c>
      <c r="O23" s="55">
        <f t="shared" si="16"/>
        <v>0</v>
      </c>
    </row>
    <row r="24" spans="1:21">
      <c r="A24" s="63">
        <v>222</v>
      </c>
      <c r="B24" s="63">
        <v>901</v>
      </c>
      <c r="C24" s="82"/>
      <c r="D24" s="81"/>
      <c r="E24" s="81">
        <f t="shared" si="1"/>
        <v>0</v>
      </c>
      <c r="F24" s="84">
        <f t="shared" si="8"/>
        <v>0</v>
      </c>
      <c r="G24" s="85">
        <f t="shared" si="9"/>
        <v>0</v>
      </c>
      <c r="H24" s="84">
        <f t="shared" si="7"/>
        <v>0</v>
      </c>
      <c r="I24" s="55">
        <f t="shared" si="10"/>
        <v>0</v>
      </c>
      <c r="J24" s="55">
        <f t="shared" si="11"/>
        <v>0</v>
      </c>
      <c r="K24" s="55">
        <f t="shared" si="12"/>
        <v>0</v>
      </c>
      <c r="L24" s="55">
        <f t="shared" si="13"/>
        <v>0</v>
      </c>
      <c r="M24" s="55">
        <f t="shared" si="14"/>
        <v>0</v>
      </c>
      <c r="N24" s="55">
        <f t="shared" si="15"/>
        <v>0</v>
      </c>
      <c r="O24" s="55">
        <f t="shared" si="16"/>
        <v>0</v>
      </c>
    </row>
    <row r="25" spans="1:21">
      <c r="A25" s="63">
        <v>223</v>
      </c>
      <c r="B25" s="63">
        <v>901</v>
      </c>
      <c r="C25" s="82">
        <f>62222+399542</f>
        <v>461764</v>
      </c>
      <c r="D25" s="81">
        <f>пр.5!H27</f>
        <v>461764.00400000007</v>
      </c>
      <c r="E25" s="81">
        <f t="shared" si="1"/>
        <v>-4.0000000735744834E-3</v>
      </c>
      <c r="F25" s="84">
        <f t="shared" si="8"/>
        <v>2297.33</v>
      </c>
      <c r="G25" s="85">
        <f t="shared" si="9"/>
        <v>-0.67000000004190952</v>
      </c>
      <c r="H25" s="84">
        <f t="shared" si="7"/>
        <v>461763.32999999996</v>
      </c>
      <c r="I25" s="55">
        <f>IF($I$4=0,0,F25)</f>
        <v>2297.33</v>
      </c>
      <c r="J25" s="55">
        <f t="shared" si="11"/>
        <v>2297.33</v>
      </c>
      <c r="K25" s="55">
        <f t="shared" si="12"/>
        <v>2297.33</v>
      </c>
      <c r="L25" s="55">
        <f t="shared" si="13"/>
        <v>2297.33</v>
      </c>
      <c r="M25" s="55">
        <f t="shared" si="14"/>
        <v>2297.33</v>
      </c>
      <c r="N25" s="55">
        <f t="shared" si="15"/>
        <v>0</v>
      </c>
      <c r="O25" s="55">
        <f t="shared" si="16"/>
        <v>0</v>
      </c>
    </row>
    <row r="26" spans="1:21">
      <c r="A26" s="63"/>
      <c r="B26" s="63">
        <v>901</v>
      </c>
      <c r="C26" s="82"/>
      <c r="D26" s="81"/>
      <c r="E26" s="81">
        <f t="shared" si="1"/>
        <v>0</v>
      </c>
      <c r="F26" s="84">
        <f t="shared" si="8"/>
        <v>0</v>
      </c>
      <c r="G26" s="85">
        <f t="shared" si="9"/>
        <v>0</v>
      </c>
      <c r="H26" s="84">
        <f t="shared" si="7"/>
        <v>0</v>
      </c>
      <c r="I26" s="55">
        <f t="shared" si="10"/>
        <v>0</v>
      </c>
      <c r="J26" s="55">
        <f t="shared" si="11"/>
        <v>0</v>
      </c>
      <c r="K26" s="55">
        <f t="shared" si="12"/>
        <v>0</v>
      </c>
      <c r="L26" s="55">
        <f t="shared" si="13"/>
        <v>0</v>
      </c>
      <c r="M26" s="55">
        <f t="shared" si="14"/>
        <v>0</v>
      </c>
      <c r="N26" s="55">
        <f t="shared" si="15"/>
        <v>0</v>
      </c>
      <c r="O26" s="55">
        <f t="shared" si="16"/>
        <v>0</v>
      </c>
    </row>
    <row r="27" spans="1:21">
      <c r="A27" s="63">
        <v>225</v>
      </c>
      <c r="B27" s="63">
        <v>901</v>
      </c>
      <c r="C27" s="82">
        <v>91940</v>
      </c>
      <c r="D27" s="81">
        <f>пр.3!F28-пр.3!F17</f>
        <v>91940</v>
      </c>
      <c r="E27" s="81">
        <f t="shared" si="1"/>
        <v>0</v>
      </c>
      <c r="F27" s="84">
        <f>ROUND(C27/$E$4,2)</f>
        <v>457.41</v>
      </c>
      <c r="G27" s="85">
        <f t="shared" si="9"/>
        <v>-0.58999999999650754</v>
      </c>
      <c r="H27" s="84">
        <f t="shared" si="7"/>
        <v>91939.41</v>
      </c>
      <c r="I27" s="55">
        <f>IF($I$4=0,0,F27)</f>
        <v>457.41</v>
      </c>
      <c r="J27" s="55">
        <f t="shared" si="11"/>
        <v>457.41</v>
      </c>
      <c r="K27" s="55">
        <f t="shared" si="12"/>
        <v>457.41</v>
      </c>
      <c r="L27" s="55">
        <f t="shared" si="13"/>
        <v>457.41</v>
      </c>
      <c r="M27" s="55">
        <f t="shared" si="14"/>
        <v>457.41</v>
      </c>
      <c r="N27" s="55">
        <f t="shared" si="15"/>
        <v>0</v>
      </c>
      <c r="O27" s="55">
        <f t="shared" si="16"/>
        <v>0</v>
      </c>
    </row>
    <row r="28" spans="1:21">
      <c r="A28" s="63">
        <v>226</v>
      </c>
      <c r="B28" s="63">
        <v>901</v>
      </c>
      <c r="C28" s="82">
        <v>372864</v>
      </c>
      <c r="D28" s="81">
        <f>пр.3!F74-пр.3!F55+пр.3!F17</f>
        <v>372864</v>
      </c>
      <c r="E28" s="81">
        <f t="shared" si="1"/>
        <v>0</v>
      </c>
      <c r="F28" s="84">
        <f t="shared" si="8"/>
        <v>1855.04</v>
      </c>
      <c r="G28" s="85">
        <f t="shared" si="9"/>
        <v>-0.9599999999627471</v>
      </c>
      <c r="H28" s="84">
        <f t="shared" si="7"/>
        <v>372863.04000000004</v>
      </c>
      <c r="I28" s="55">
        <f t="shared" si="10"/>
        <v>1855.04</v>
      </c>
      <c r="J28" s="55">
        <f t="shared" si="11"/>
        <v>1855.04</v>
      </c>
      <c r="K28" s="55">
        <f t="shared" si="12"/>
        <v>1855.04</v>
      </c>
      <c r="L28" s="55">
        <f t="shared" si="13"/>
        <v>1855.04</v>
      </c>
      <c r="M28" s="55">
        <f t="shared" si="14"/>
        <v>1855.04</v>
      </c>
      <c r="N28" s="55">
        <f t="shared" si="15"/>
        <v>0</v>
      </c>
      <c r="O28" s="55">
        <f t="shared" si="16"/>
        <v>0</v>
      </c>
    </row>
    <row r="29" spans="1:21">
      <c r="A29" s="63">
        <v>291</v>
      </c>
      <c r="B29" s="63">
        <v>901</v>
      </c>
      <c r="C29" s="82">
        <f>220751+19631</f>
        <v>240382</v>
      </c>
      <c r="D29" s="81">
        <f>пр.6!D6+пр.6!D7</f>
        <v>240382</v>
      </c>
      <c r="E29" s="81">
        <f t="shared" si="1"/>
        <v>0</v>
      </c>
      <c r="F29" s="84">
        <f>ROUND(C29/$E$4,2)</f>
        <v>1195.93</v>
      </c>
      <c r="G29" s="85">
        <f t="shared" si="9"/>
        <v>-6.9999999977881089E-2</v>
      </c>
      <c r="H29" s="84">
        <f t="shared" si="7"/>
        <v>240381.93000000002</v>
      </c>
      <c r="I29" s="55">
        <f t="shared" si="10"/>
        <v>1195.93</v>
      </c>
      <c r="J29" s="55">
        <f t="shared" si="11"/>
        <v>1195.93</v>
      </c>
      <c r="K29" s="55">
        <f t="shared" si="12"/>
        <v>1195.93</v>
      </c>
      <c r="L29" s="55">
        <f t="shared" si="13"/>
        <v>1195.93</v>
      </c>
      <c r="M29" s="55">
        <f t="shared" si="14"/>
        <v>1195.93</v>
      </c>
      <c r="N29" s="55">
        <f t="shared" si="15"/>
        <v>0</v>
      </c>
      <c r="O29" s="55">
        <f t="shared" si="16"/>
        <v>0</v>
      </c>
    </row>
    <row r="30" spans="1:21">
      <c r="A30" s="238" t="s">
        <v>244</v>
      </c>
      <c r="B30" s="63">
        <v>901</v>
      </c>
      <c r="C30" s="82">
        <f>50000+47500+6120</f>
        <v>103620</v>
      </c>
      <c r="D30" s="81">
        <f>пр.3!F55</f>
        <v>103620</v>
      </c>
      <c r="E30" s="81">
        <f t="shared" si="1"/>
        <v>0</v>
      </c>
      <c r="F30" s="84">
        <f t="shared" si="8"/>
        <v>515.52</v>
      </c>
      <c r="G30" s="85">
        <f t="shared" si="9"/>
        <v>-0.48000000001047738</v>
      </c>
      <c r="H30" s="84">
        <f t="shared" si="7"/>
        <v>103619.51999999999</v>
      </c>
      <c r="I30" s="55">
        <f t="shared" si="10"/>
        <v>515.52</v>
      </c>
      <c r="J30" s="55">
        <f t="shared" si="11"/>
        <v>515.52</v>
      </c>
      <c r="K30" s="55">
        <f t="shared" si="12"/>
        <v>515.52</v>
      </c>
      <c r="L30" s="55">
        <f t="shared" si="13"/>
        <v>515.52</v>
      </c>
      <c r="M30" s="55">
        <f t="shared" si="14"/>
        <v>515.52</v>
      </c>
      <c r="N30" s="55">
        <f t="shared" si="15"/>
        <v>0</v>
      </c>
      <c r="O30" s="55">
        <f t="shared" si="16"/>
        <v>0</v>
      </c>
    </row>
    <row r="31" spans="1:21">
      <c r="A31" s="173" t="s">
        <v>214</v>
      </c>
      <c r="B31" s="88"/>
      <c r="C31" s="87"/>
      <c r="D31" s="81"/>
      <c r="E31" s="81">
        <f t="shared" si="1"/>
        <v>0</v>
      </c>
      <c r="F31" s="84">
        <f t="shared" si="8"/>
        <v>0</v>
      </c>
      <c r="G31" s="85">
        <f t="shared" si="9"/>
        <v>0</v>
      </c>
      <c r="H31" s="84">
        <f t="shared" si="7"/>
        <v>0</v>
      </c>
      <c r="I31" s="55">
        <f t="shared" si="10"/>
        <v>0</v>
      </c>
      <c r="J31" s="55">
        <f t="shared" si="11"/>
        <v>0</v>
      </c>
      <c r="K31" s="55">
        <f t="shared" si="12"/>
        <v>0</v>
      </c>
      <c r="L31" s="55">
        <f t="shared" si="13"/>
        <v>0</v>
      </c>
      <c r="M31" s="55">
        <f t="shared" si="14"/>
        <v>0</v>
      </c>
      <c r="N31" s="55">
        <f t="shared" si="15"/>
        <v>0</v>
      </c>
      <c r="O31" s="55">
        <f t="shared" si="16"/>
        <v>0</v>
      </c>
    </row>
    <row r="32" spans="1:21">
      <c r="A32" s="173" t="s">
        <v>215</v>
      </c>
      <c r="B32" s="88"/>
      <c r="C32" s="87"/>
      <c r="D32" s="81"/>
      <c r="E32" s="81">
        <f t="shared" si="1"/>
        <v>0</v>
      </c>
      <c r="F32" s="84">
        <f t="shared" si="8"/>
        <v>0</v>
      </c>
      <c r="G32" s="85">
        <f t="shared" si="9"/>
        <v>0</v>
      </c>
      <c r="H32" s="84">
        <f t="shared" si="7"/>
        <v>0</v>
      </c>
      <c r="I32" s="55">
        <f t="shared" si="10"/>
        <v>0</v>
      </c>
      <c r="J32" s="55">
        <f t="shared" si="11"/>
        <v>0</v>
      </c>
      <c r="K32" s="55">
        <f t="shared" si="12"/>
        <v>0</v>
      </c>
      <c r="L32" s="55">
        <f t="shared" si="13"/>
        <v>0</v>
      </c>
      <c r="M32" s="55">
        <f t="shared" si="14"/>
        <v>0</v>
      </c>
      <c r="N32" s="55">
        <f t="shared" si="15"/>
        <v>0</v>
      </c>
      <c r="O32" s="55">
        <f t="shared" si="16"/>
        <v>0</v>
      </c>
    </row>
    <row r="33" spans="1:16">
      <c r="C33" s="72">
        <f>C20+C22+C23+C25+C27+C28+C29+C30+C21</f>
        <v>3152513</v>
      </c>
      <c r="F33" s="58"/>
      <c r="G33" s="94">
        <f>G19+G20+G21+G22+G23+G24+G25+G26+G27+G28+G29+G30</f>
        <v>-2.670000000813161</v>
      </c>
      <c r="H33" s="83">
        <f>H19+H20+H21+H22+H23+H24+H25+H26+H27+H28+H29+H30</f>
        <v>11065437.93</v>
      </c>
      <c r="I33" s="83">
        <f>IF(I4=0,0,I19+I20+I21+I22+I23+I24+I25+I26+I27+I28+I29+I30)</f>
        <v>55051.930000000008</v>
      </c>
      <c r="J33" s="83">
        <f t="shared" ref="J33:O33" si="17">IF(J4=0,0,J19+J20+J21+J22+J23+J24+J25+J26+J27+J28+J29+J30)</f>
        <v>55051.930000000008</v>
      </c>
      <c r="K33" s="83">
        <f t="shared" si="17"/>
        <v>55051.930000000008</v>
      </c>
      <c r="L33" s="83">
        <f t="shared" si="17"/>
        <v>55051.930000000008</v>
      </c>
      <c r="M33" s="83">
        <f t="shared" si="17"/>
        <v>55051.930000000008</v>
      </c>
      <c r="N33" s="83">
        <f t="shared" si="17"/>
        <v>0</v>
      </c>
      <c r="O33" s="83">
        <f t="shared" si="17"/>
        <v>0</v>
      </c>
      <c r="P33" s="83"/>
    </row>
    <row r="34" spans="1:16">
      <c r="I34" s="511">
        <f>IF((I4+J4)=0,0,ROUND((I33*I4+J33*J4)/(I4+J4),2))</f>
        <v>55051.93</v>
      </c>
      <c r="J34" s="511"/>
      <c r="K34" s="499">
        <f t="shared" ref="K34" si="18">IF((K4+L4)=0,0,ROUND((K33*K4+L33*L4)/(K4+L4),2))</f>
        <v>55051.93</v>
      </c>
      <c r="L34" s="499"/>
      <c r="M34" s="172">
        <f t="shared" ref="M34" si="19">IF((M4+N4)=0,0,ROUND((M33*M4+N33*N4)/(M4+N4),2))</f>
        <v>55051.93</v>
      </c>
      <c r="N34" s="172"/>
      <c r="O34" s="55">
        <f>O33</f>
        <v>0</v>
      </c>
    </row>
    <row r="35" spans="1:16">
      <c r="N35" s="72"/>
    </row>
    <row r="36" spans="1:16">
      <c r="A36" s="508" t="s">
        <v>296</v>
      </c>
      <c r="B36" s="508"/>
      <c r="C36" s="63"/>
      <c r="D36" s="63"/>
      <c r="E36" s="63"/>
      <c r="I36" s="55">
        <f>C17/E4</f>
        <v>39367.800995024874</v>
      </c>
      <c r="O36" s="55">
        <f t="shared" ref="O36" si="20">O7/K4</f>
        <v>0</v>
      </c>
    </row>
    <row r="37" spans="1:16">
      <c r="A37" s="63"/>
      <c r="B37" s="63"/>
      <c r="C37" s="63" t="s">
        <v>62</v>
      </c>
      <c r="D37" s="63"/>
      <c r="E37" s="63"/>
      <c r="I37" s="72"/>
    </row>
    <row r="38" spans="1:16">
      <c r="A38" s="63"/>
      <c r="B38" s="63"/>
      <c r="C38" s="63" t="s">
        <v>55</v>
      </c>
      <c r="D38" s="63" t="s">
        <v>247</v>
      </c>
      <c r="E38" s="63" t="s">
        <v>248</v>
      </c>
    </row>
    <row r="39" spans="1:16">
      <c r="A39" s="63" t="s">
        <v>92</v>
      </c>
      <c r="B39" s="63"/>
      <c r="C39" s="63"/>
      <c r="D39" s="63"/>
      <c r="E39" s="63">
        <f>E4</f>
        <v>201</v>
      </c>
    </row>
    <row r="40" spans="1:16">
      <c r="A40" s="63" t="s">
        <v>85</v>
      </c>
      <c r="B40" s="63"/>
      <c r="C40" s="63">
        <f>I36</f>
        <v>39367.800995024874</v>
      </c>
      <c r="D40" s="63">
        <v>1</v>
      </c>
      <c r="E40" s="63">
        <f>E4</f>
        <v>201</v>
      </c>
    </row>
    <row r="41" spans="1:16">
      <c r="A41" s="509" t="s">
        <v>306</v>
      </c>
      <c r="B41" s="509"/>
      <c r="C41" s="244">
        <f>C33-ROUND(C39*D39*E39,2)</f>
        <v>3152513</v>
      </c>
      <c r="D41" s="63"/>
      <c r="E41" s="63"/>
    </row>
    <row r="42" spans="1:16">
      <c r="A42" s="509" t="s">
        <v>307</v>
      </c>
      <c r="B42" s="509"/>
      <c r="C42" s="244">
        <f>C17-C40*E40</f>
        <v>0</v>
      </c>
      <c r="D42" s="63"/>
      <c r="E42" s="63"/>
    </row>
    <row r="55" spans="1:5" ht="15">
      <c r="A55" s="5" t="s">
        <v>259</v>
      </c>
      <c r="B55" s="59"/>
      <c r="C55" s="102"/>
      <c r="D55" s="470" t="s">
        <v>260</v>
      </c>
      <c r="E55" s="471"/>
    </row>
    <row r="56" spans="1:5">
      <c r="A56" s="56"/>
      <c r="B56" s="56"/>
      <c r="C56" s="56"/>
      <c r="D56" s="56"/>
      <c r="E56" s="4"/>
    </row>
    <row r="57" spans="1:5" ht="15">
      <c r="A57" s="1" t="s">
        <v>211</v>
      </c>
      <c r="B57" s="56"/>
      <c r="C57" s="103"/>
      <c r="D57" s="470" t="s">
        <v>261</v>
      </c>
      <c r="E57" s="471"/>
    </row>
  </sheetData>
  <mergeCells count="11">
    <mergeCell ref="D55:E55"/>
    <mergeCell ref="D57:E57"/>
    <mergeCell ref="A36:B36"/>
    <mergeCell ref="A41:B41"/>
    <mergeCell ref="M2:N2"/>
    <mergeCell ref="I34:J34"/>
    <mergeCell ref="K34:L34"/>
    <mergeCell ref="A2:E2"/>
    <mergeCell ref="I2:J2"/>
    <mergeCell ref="K2:L2"/>
    <mergeCell ref="A42:B4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"/>
  <sheetViews>
    <sheetView zoomScale="115" zoomScaleNormal="115" workbookViewId="0">
      <selection activeCell="L4" sqref="L4"/>
    </sheetView>
  </sheetViews>
  <sheetFormatPr defaultColWidth="9.140625" defaultRowHeight="12.75"/>
  <cols>
    <col min="1" max="1" width="9.7109375" style="55" customWidth="1"/>
    <col min="2" max="2" width="7.5703125" style="55" customWidth="1"/>
    <col min="3" max="3" width="15.5703125" style="55" customWidth="1"/>
    <col min="4" max="4" width="18.140625" style="55" customWidth="1"/>
    <col min="5" max="5" width="15.140625" style="55" customWidth="1"/>
    <col min="6" max="6" width="8" style="55" customWidth="1"/>
    <col min="7" max="7" width="13.42578125" style="55" bestFit="1" customWidth="1"/>
    <col min="8" max="8" width="15.85546875" style="55" customWidth="1"/>
    <col min="9" max="9" width="13.42578125" style="55" customWidth="1"/>
    <col min="10" max="10" width="10.7109375" style="55" bestFit="1" customWidth="1"/>
    <col min="11" max="11" width="9.140625" style="55"/>
    <col min="12" max="12" width="10.28515625" style="55" customWidth="1"/>
    <col min="13" max="13" width="9.140625" style="55"/>
    <col min="14" max="14" width="10.140625" style="55" bestFit="1" customWidth="1"/>
    <col min="15" max="17" width="9.140625" style="55"/>
    <col min="18" max="18" width="0" style="55" hidden="1" customWidth="1"/>
    <col min="19" max="19" width="10.28515625" style="55" hidden="1" customWidth="1"/>
    <col min="20" max="20" width="11.7109375" style="55" hidden="1" customWidth="1"/>
    <col min="21" max="16384" width="9.140625" style="55"/>
  </cols>
  <sheetData>
    <row r="1" spans="1:20" ht="15.75">
      <c r="F1" s="58"/>
      <c r="G1" s="58"/>
      <c r="H1" s="58"/>
      <c r="I1" s="57" t="s">
        <v>150</v>
      </c>
      <c r="J1" s="57"/>
      <c r="K1" s="57"/>
      <c r="L1" s="57"/>
      <c r="M1" s="57"/>
      <c r="N1" s="80"/>
      <c r="O1" s="57"/>
      <c r="P1" s="57"/>
      <c r="Q1" s="80"/>
      <c r="R1" s="80"/>
    </row>
    <row r="2" spans="1:20" ht="18">
      <c r="A2" s="512" t="s">
        <v>147</v>
      </c>
      <c r="B2" s="512"/>
      <c r="C2" s="512"/>
      <c r="D2" s="512"/>
      <c r="E2" s="512"/>
      <c r="F2" s="58"/>
      <c r="G2" s="58"/>
      <c r="H2" s="58"/>
      <c r="I2" s="510" t="s">
        <v>303</v>
      </c>
      <c r="J2" s="510"/>
      <c r="K2" s="510" t="s">
        <v>301</v>
      </c>
      <c r="L2" s="510"/>
      <c r="M2" s="510" t="s">
        <v>302</v>
      </c>
      <c r="N2" s="510"/>
      <c r="O2" s="57"/>
      <c r="R2" s="57" t="s">
        <v>204</v>
      </c>
      <c r="S2" s="57"/>
    </row>
    <row r="3" spans="1:20">
      <c r="F3" s="58"/>
      <c r="G3" s="58"/>
      <c r="H3" s="58"/>
      <c r="I3" s="57" t="s">
        <v>205</v>
      </c>
      <c r="J3" s="55" t="s">
        <v>292</v>
      </c>
      <c r="K3" s="57" t="s">
        <v>205</v>
      </c>
      <c r="L3" s="55" t="s">
        <v>292</v>
      </c>
      <c r="M3" s="57" t="s">
        <v>205</v>
      </c>
      <c r="N3" s="55" t="s">
        <v>292</v>
      </c>
      <c r="O3" s="57"/>
      <c r="P3" s="57"/>
      <c r="R3" s="92" t="s">
        <v>151</v>
      </c>
      <c r="S3" s="92" t="s">
        <v>148</v>
      </c>
      <c r="T3" s="92" t="s">
        <v>149</v>
      </c>
    </row>
    <row r="4" spans="1:20" ht="18.75">
      <c r="C4" s="55" t="s">
        <v>85</v>
      </c>
      <c r="E4" s="55">
        <f>I4+J4+K4+L4+M4+N4+O4</f>
        <v>200</v>
      </c>
      <c r="F4" s="58"/>
      <c r="G4" s="58" t="s">
        <v>144</v>
      </c>
      <c r="H4" s="58"/>
      <c r="I4" s="78">
        <v>73</v>
      </c>
      <c r="J4" s="78">
        <v>3</v>
      </c>
      <c r="K4" s="78">
        <v>95</v>
      </c>
      <c r="L4" s="78">
        <v>6</v>
      </c>
      <c r="M4" s="78">
        <v>23</v>
      </c>
      <c r="N4" s="78">
        <v>0</v>
      </c>
      <c r="O4" s="78"/>
      <c r="P4" s="91"/>
      <c r="Q4" s="57"/>
      <c r="R4" s="95">
        <v>0</v>
      </c>
      <c r="S4" s="95">
        <v>0</v>
      </c>
      <c r="T4" s="95">
        <v>0</v>
      </c>
    </row>
    <row r="5" spans="1:20">
      <c r="A5" s="63" t="s">
        <v>75</v>
      </c>
      <c r="B5" s="63" t="s">
        <v>146</v>
      </c>
      <c r="C5" s="63" t="s">
        <v>145</v>
      </c>
      <c r="D5" s="63" t="s">
        <v>55</v>
      </c>
      <c r="E5" s="63" t="s">
        <v>144</v>
      </c>
      <c r="F5" s="58"/>
      <c r="G5" s="58"/>
      <c r="H5" s="58"/>
      <c r="I5" s="142"/>
      <c r="J5" s="142"/>
      <c r="K5" s="142"/>
      <c r="L5" s="142"/>
      <c r="M5" s="142"/>
      <c r="N5" s="142"/>
      <c r="O5" s="142"/>
      <c r="P5" s="57"/>
      <c r="Q5" s="57"/>
      <c r="R5" s="92"/>
      <c r="S5" s="92"/>
      <c r="T5" s="92"/>
    </row>
    <row r="6" spans="1:20" s="83" customFormat="1">
      <c r="A6" s="89"/>
      <c r="B6" s="89"/>
      <c r="C6" s="90">
        <f>SUM(C14:C27)</f>
        <v>0</v>
      </c>
      <c r="D6" s="90"/>
      <c r="E6" s="90"/>
      <c r="F6" s="85"/>
      <c r="G6" s="85"/>
      <c r="H6" s="85"/>
      <c r="I6" s="95">
        <f>'проверка 2020'!I6</f>
        <v>0</v>
      </c>
      <c r="J6" s="95">
        <f>'проверка 2020'!J6</f>
        <v>0</v>
      </c>
      <c r="K6" s="95">
        <f>'проверка 2020'!K6</f>
        <v>0</v>
      </c>
      <c r="L6" s="95">
        <f>'проверка 2020'!L6</f>
        <v>0</v>
      </c>
      <c r="M6" s="95">
        <f>'проверка 2020'!M6</f>
        <v>0</v>
      </c>
      <c r="N6" s="95">
        <f>'проверка 2020'!N6</f>
        <v>0</v>
      </c>
      <c r="O6" s="95">
        <f>'проверка 2020'!O6</f>
        <v>0</v>
      </c>
      <c r="P6" s="57" t="s">
        <v>157</v>
      </c>
      <c r="Q6" s="57"/>
      <c r="R6" s="92"/>
      <c r="S6" s="92"/>
      <c r="T6" s="92"/>
    </row>
    <row r="7" spans="1:20" s="83" customFormat="1">
      <c r="A7" s="89">
        <v>211</v>
      </c>
      <c r="B7" s="88" t="s">
        <v>143</v>
      </c>
      <c r="C7" s="87"/>
      <c r="D7" s="86"/>
      <c r="E7" s="81"/>
      <c r="F7" s="58"/>
      <c r="G7" s="58"/>
      <c r="H7" s="58"/>
      <c r="I7" s="213">
        <v>3106.7</v>
      </c>
      <c r="J7" s="214"/>
      <c r="K7" s="213">
        <v>4032.82</v>
      </c>
      <c r="L7" s="214"/>
      <c r="M7" s="213">
        <v>4238.63</v>
      </c>
      <c r="N7" s="209"/>
      <c r="O7" s="209"/>
      <c r="P7" s="57" t="s">
        <v>156</v>
      </c>
      <c r="Q7" s="57"/>
      <c r="R7" s="92"/>
      <c r="S7" s="92"/>
      <c r="T7" s="92"/>
    </row>
    <row r="8" spans="1:20" s="83" customFormat="1">
      <c r="A8" s="89">
        <v>213</v>
      </c>
      <c r="B8" s="88" t="s">
        <v>143</v>
      </c>
      <c r="C8" s="87"/>
      <c r="D8" s="86"/>
      <c r="E8" s="81"/>
      <c r="F8" s="84"/>
      <c r="G8" s="84"/>
      <c r="H8" s="84">
        <f>I8*$I$4+J8*$J$4+K8*$K$4+L8*$L$4+M8*$M$4+N8*$N$4+O8*$O$4</f>
        <v>5413781.1999999993</v>
      </c>
      <c r="I8" s="211">
        <v>19518.2</v>
      </c>
      <c r="J8" s="211">
        <v>46006.5</v>
      </c>
      <c r="K8" s="211">
        <v>28135.9</v>
      </c>
      <c r="L8" s="211">
        <v>72905.3</v>
      </c>
      <c r="M8" s="211">
        <v>32199.599999999999</v>
      </c>
      <c r="N8" s="211">
        <v>114664.6</v>
      </c>
      <c r="O8" s="210">
        <f>IF(O4=0,0,ROUND((R8*R4+S8*S4+T8*T4)/O4,0))</f>
        <v>0</v>
      </c>
      <c r="P8" s="57" t="s">
        <v>154</v>
      </c>
      <c r="Q8" s="57"/>
      <c r="R8" s="211">
        <f>J8</f>
        <v>46006.5</v>
      </c>
      <c r="S8" s="211">
        <f>L8</f>
        <v>72905.3</v>
      </c>
      <c r="T8" s="211">
        <f>N8</f>
        <v>114664.6</v>
      </c>
    </row>
    <row r="9" spans="1:20" s="83" customFormat="1">
      <c r="A9" s="89">
        <v>221</v>
      </c>
      <c r="B9" s="88" t="s">
        <v>143</v>
      </c>
      <c r="C9" s="87"/>
      <c r="D9" s="86"/>
      <c r="E9" s="81"/>
      <c r="F9" s="84"/>
      <c r="G9" s="84"/>
      <c r="H9" s="84">
        <f>I9*$I$4+J9*$J$4+K9*$K$4+L9*$L$4+M9*$M$4+N9*$N$4+O9*$O$4</f>
        <v>1746531.6999999997</v>
      </c>
      <c r="I9" s="211">
        <v>6191.5</v>
      </c>
      <c r="J9" s="211">
        <v>15293.1</v>
      </c>
      <c r="K9" s="241">
        <v>9068.2999999999993</v>
      </c>
      <c r="L9" s="242">
        <v>24437.9</v>
      </c>
      <c r="M9" s="241">
        <v>10459</v>
      </c>
      <c r="N9" s="242">
        <v>38750.5</v>
      </c>
      <c r="O9" s="210">
        <f>IF(O4=0,0,ROUND((R9*R4+S9*S4+T9*T4)/O4,0))</f>
        <v>0</v>
      </c>
      <c r="P9" s="57" t="s">
        <v>155</v>
      </c>
      <c r="Q9" s="57"/>
      <c r="R9" s="211">
        <f>J9</f>
        <v>15293.1</v>
      </c>
      <c r="S9" s="212">
        <f>L9</f>
        <v>24437.9</v>
      </c>
      <c r="T9" s="212">
        <f>N9</f>
        <v>38750.5</v>
      </c>
    </row>
    <row r="10" spans="1:20" s="83" customFormat="1">
      <c r="A10" s="89">
        <v>226</v>
      </c>
      <c r="B10" s="88" t="s">
        <v>143</v>
      </c>
      <c r="C10" s="93"/>
      <c r="D10" s="86"/>
      <c r="E10" s="81"/>
      <c r="F10" s="84">
        <f>ROUND(C10/$E$4,2)</f>
        <v>0</v>
      </c>
      <c r="G10" s="84"/>
      <c r="H10" s="84"/>
      <c r="I10" s="55">
        <f>$F$10</f>
        <v>0</v>
      </c>
      <c r="J10" s="55">
        <f t="shared" ref="J10:O10" si="0">$F$10</f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5">
        <f t="shared" si="0"/>
        <v>0</v>
      </c>
      <c r="P10" s="57"/>
      <c r="Q10" s="57"/>
      <c r="R10" s="57"/>
      <c r="S10" s="57"/>
      <c r="T10" s="57"/>
    </row>
    <row r="11" spans="1:20" s="83" customFormat="1">
      <c r="A11" s="89">
        <v>226</v>
      </c>
      <c r="B11" s="88" t="s">
        <v>143</v>
      </c>
      <c r="C11" s="87"/>
      <c r="D11" s="86"/>
      <c r="E11" s="81"/>
      <c r="F11" s="84"/>
      <c r="G11" s="84"/>
      <c r="H11" s="84"/>
      <c r="I11" s="314">
        <v>73</v>
      </c>
      <c r="J11" s="314">
        <v>95</v>
      </c>
      <c r="K11" s="314">
        <v>23</v>
      </c>
      <c r="L11" s="314">
        <v>3</v>
      </c>
      <c r="M11" s="314">
        <v>6</v>
      </c>
      <c r="N11" s="314">
        <v>0</v>
      </c>
      <c r="O11" s="141"/>
      <c r="P11" s="57"/>
      <c r="Q11" s="57"/>
      <c r="R11" s="57"/>
      <c r="S11" s="57"/>
      <c r="T11" s="57"/>
    </row>
    <row r="12" spans="1:20" s="83" customFormat="1">
      <c r="A12" s="89">
        <v>310</v>
      </c>
      <c r="B12" s="88" t="s">
        <v>143</v>
      </c>
      <c r="C12" s="87"/>
      <c r="D12" s="86"/>
      <c r="E12" s="81"/>
      <c r="F12" s="84"/>
      <c r="G12" s="85"/>
      <c r="N12" s="55"/>
      <c r="O12" s="57"/>
      <c r="P12" s="57"/>
      <c r="Q12" s="57"/>
      <c r="R12" s="57"/>
    </row>
    <row r="13" spans="1:20" s="83" customFormat="1">
      <c r="A13" s="239" t="s">
        <v>243</v>
      </c>
      <c r="B13" s="88" t="s">
        <v>143</v>
      </c>
      <c r="C13" s="87"/>
      <c r="D13" s="86"/>
      <c r="E13" s="81"/>
      <c r="F13" s="84"/>
      <c r="G13" s="84"/>
    </row>
    <row r="14" spans="1:20" s="83" customFormat="1" ht="13.5" thickBot="1">
      <c r="A14" s="89"/>
      <c r="B14" s="88"/>
      <c r="C14" s="96">
        <f>SUM(C7:C13)</f>
        <v>0</v>
      </c>
      <c r="D14" s="96"/>
      <c r="E14" s="96"/>
      <c r="F14" s="84"/>
      <c r="G14" s="85">
        <f>H14-C14</f>
        <v>7160312.8999999994</v>
      </c>
      <c r="H14" s="84">
        <f>I14*$I$4+J4*$J$14+K14*$K$4+L14*$L$4+M14*$M$4+N14*$N$4+O14*$O$4</f>
        <v>7160312.8999999994</v>
      </c>
      <c r="I14" s="77">
        <f>ROUND(IF(I4=0,0,I8+I9+I10)+IF(I6=0,0,I7/I4),2)</f>
        <v>25709.7</v>
      </c>
      <c r="J14" s="77">
        <f t="shared" ref="J14:O14" si="1">ROUND(IF(J4=0,0,J8+J9+J10)+IF(J6=0,0,J7/J4),2)</f>
        <v>61299.6</v>
      </c>
      <c r="K14" s="77">
        <f t="shared" si="1"/>
        <v>37204.199999999997</v>
      </c>
      <c r="L14" s="77">
        <f t="shared" si="1"/>
        <v>97343.2</v>
      </c>
      <c r="M14" s="77">
        <f t="shared" si="1"/>
        <v>42658.6</v>
      </c>
      <c r="N14" s="77">
        <f t="shared" si="1"/>
        <v>0</v>
      </c>
      <c r="O14" s="77">
        <f t="shared" si="1"/>
        <v>0</v>
      </c>
      <c r="P14" s="140"/>
    </row>
    <row r="15" spans="1:20" s="83" customFormat="1">
      <c r="A15" s="89"/>
      <c r="B15" s="88"/>
      <c r="C15" s="96"/>
      <c r="D15" s="96"/>
      <c r="E15" s="96"/>
      <c r="F15" s="84"/>
      <c r="G15" s="85"/>
      <c r="H15" s="84" t="s">
        <v>159</v>
      </c>
      <c r="I15" s="83">
        <f>-ROUND($G$14/$E$4,2)</f>
        <v>-35801.56</v>
      </c>
      <c r="J15" s="83">
        <f t="shared" ref="J15:O15" si="2">-ROUND($G$14/$E$4,2)</f>
        <v>-35801.56</v>
      </c>
      <c r="K15" s="83">
        <f t="shared" si="2"/>
        <v>-35801.56</v>
      </c>
      <c r="L15" s="83">
        <f t="shared" si="2"/>
        <v>-35801.56</v>
      </c>
      <c r="M15" s="83">
        <f t="shared" si="2"/>
        <v>-35801.56</v>
      </c>
      <c r="N15" s="83">
        <f t="shared" si="2"/>
        <v>-35801.56</v>
      </c>
      <c r="O15" s="83">
        <f t="shared" si="2"/>
        <v>-35801.56</v>
      </c>
    </row>
    <row r="16" spans="1:20" s="83" customFormat="1">
      <c r="A16" s="89"/>
      <c r="B16" s="88"/>
      <c r="C16" s="96" t="s">
        <v>295</v>
      </c>
      <c r="D16" s="96"/>
      <c r="E16" s="96"/>
      <c r="F16" s="84"/>
      <c r="G16" s="85">
        <f>C14-H16</f>
        <v>-0.90000000011059456</v>
      </c>
      <c r="H16" s="84">
        <f>I16*$I$4+J16*$J$4+K16*$K$4+L16*$L$4+M16*$M$4+N16*$N$4+O16*$O$4</f>
        <v>0.90000000011059456</v>
      </c>
      <c r="I16" s="83">
        <f>I14+I15</f>
        <v>-10091.859999999997</v>
      </c>
      <c r="J16" s="83">
        <f>J14+J15</f>
        <v>25498.04</v>
      </c>
      <c r="K16" s="83">
        <f t="shared" ref="K16:O16" si="3">K14+K15</f>
        <v>1402.6399999999994</v>
      </c>
      <c r="L16" s="83">
        <f t="shared" si="3"/>
        <v>61541.64</v>
      </c>
      <c r="M16" s="83">
        <f t="shared" si="3"/>
        <v>6857.0400000000009</v>
      </c>
      <c r="N16" s="83">
        <f t="shared" si="3"/>
        <v>-35801.56</v>
      </c>
      <c r="O16" s="83">
        <f t="shared" si="3"/>
        <v>-35801.56</v>
      </c>
    </row>
    <row r="17" spans="1:21">
      <c r="A17" s="63">
        <v>211</v>
      </c>
      <c r="B17" s="63">
        <v>901</v>
      </c>
      <c r="C17" s="82"/>
      <c r="D17" s="81"/>
      <c r="E17" s="81"/>
      <c r="F17" s="84">
        <f>ROUND(C17/$E$4,2)</f>
        <v>0</v>
      </c>
      <c r="G17" s="85">
        <f>H17-C17</f>
        <v>0</v>
      </c>
      <c r="H17" s="84">
        <f t="shared" ref="H17:H27" si="4">I17*$I$4+J17*$J$4+K17*$K$4+L17*$L$4+M17*$M$4+N17*$N$4+O17*$O$4</f>
        <v>0</v>
      </c>
      <c r="I17" s="55">
        <f>IF($I$4=0,0,F17)</f>
        <v>0</v>
      </c>
      <c r="J17" s="55">
        <f>IF($J$4=0,0,F17)</f>
        <v>0</v>
      </c>
      <c r="K17" s="55">
        <f>IF($K$4=0,0,F17)</f>
        <v>0</v>
      </c>
      <c r="L17" s="55">
        <f>IF($L$4=0,0,F17)</f>
        <v>0</v>
      </c>
      <c r="M17" s="55">
        <f>IF($M$4=0,0,F17)</f>
        <v>0</v>
      </c>
      <c r="N17" s="55">
        <f>IF($N$4=0,0,F17)</f>
        <v>0</v>
      </c>
      <c r="O17" s="55">
        <f>IF($O$4=0,0,F17)</f>
        <v>0</v>
      </c>
      <c r="R17" s="57"/>
      <c r="S17" s="57"/>
      <c r="T17" s="57"/>
      <c r="U17" s="57"/>
    </row>
    <row r="18" spans="1:21">
      <c r="A18" s="63">
        <v>266</v>
      </c>
      <c r="B18" s="63">
        <v>901</v>
      </c>
      <c r="C18" s="82"/>
      <c r="D18" s="81"/>
      <c r="E18" s="81"/>
      <c r="F18" s="84">
        <f t="shared" ref="F18:F27" si="5">ROUND(C18/$E$4,2)</f>
        <v>0</v>
      </c>
      <c r="G18" s="85">
        <f t="shared" ref="G18:G27" si="6">H18-C18</f>
        <v>0</v>
      </c>
      <c r="H18" s="84">
        <f t="shared" si="4"/>
        <v>0</v>
      </c>
      <c r="I18" s="55">
        <f t="shared" ref="I18:I27" si="7">IF($I$4=0,0,F18)</f>
        <v>0</v>
      </c>
      <c r="J18" s="55">
        <f t="shared" ref="J18:J27" si="8">IF($J$4=0,0,F18)</f>
        <v>0</v>
      </c>
      <c r="K18" s="55">
        <f t="shared" ref="K18:K27" si="9">IF($K$4=0,0,I18)</f>
        <v>0</v>
      </c>
      <c r="L18" s="55">
        <f t="shared" ref="L18:L27" si="10">IF($L$4=0,0,F18)</f>
        <v>0</v>
      </c>
      <c r="M18" s="55">
        <f t="shared" ref="M18:M27" si="11">IF($M$4=0,0,F18)</f>
        <v>0</v>
      </c>
      <c r="N18" s="55">
        <f t="shared" ref="N18:N27" si="12">IF($N$4=0,0,F18)</f>
        <v>0</v>
      </c>
      <c r="O18" s="55">
        <f t="shared" ref="O18:O27" si="13">IF($O$4=0,0,F18)</f>
        <v>0</v>
      </c>
      <c r="R18" s="57"/>
      <c r="S18" s="57"/>
      <c r="T18" s="57"/>
      <c r="U18" s="57"/>
    </row>
    <row r="19" spans="1:21">
      <c r="A19" s="63">
        <v>213</v>
      </c>
      <c r="B19" s="63">
        <v>901</v>
      </c>
      <c r="C19" s="82"/>
      <c r="D19" s="81"/>
      <c r="E19" s="81"/>
      <c r="F19" s="84">
        <f t="shared" si="5"/>
        <v>0</v>
      </c>
      <c r="G19" s="85">
        <f t="shared" si="6"/>
        <v>0</v>
      </c>
      <c r="H19" s="84">
        <f t="shared" si="4"/>
        <v>0</v>
      </c>
      <c r="I19" s="55">
        <f t="shared" si="7"/>
        <v>0</v>
      </c>
      <c r="J19" s="55">
        <f t="shared" si="8"/>
        <v>0</v>
      </c>
      <c r="K19" s="55">
        <f t="shared" si="9"/>
        <v>0</v>
      </c>
      <c r="L19" s="55">
        <f t="shared" si="10"/>
        <v>0</v>
      </c>
      <c r="M19" s="55">
        <f t="shared" si="11"/>
        <v>0</v>
      </c>
      <c r="N19" s="55">
        <f t="shared" si="12"/>
        <v>0</v>
      </c>
      <c r="O19" s="55">
        <f t="shared" si="13"/>
        <v>0</v>
      </c>
    </row>
    <row r="20" spans="1:21">
      <c r="A20" s="63">
        <v>221</v>
      </c>
      <c r="B20" s="63">
        <v>901</v>
      </c>
      <c r="C20" s="82"/>
      <c r="D20" s="81"/>
      <c r="E20" s="81"/>
      <c r="F20" s="84">
        <f t="shared" si="5"/>
        <v>0</v>
      </c>
      <c r="G20" s="85">
        <f t="shared" si="6"/>
        <v>0</v>
      </c>
      <c r="H20" s="84">
        <f t="shared" si="4"/>
        <v>0</v>
      </c>
      <c r="I20" s="55">
        <f t="shared" si="7"/>
        <v>0</v>
      </c>
      <c r="J20" s="55">
        <f t="shared" si="8"/>
        <v>0</v>
      </c>
      <c r="K20" s="55">
        <f t="shared" si="9"/>
        <v>0</v>
      </c>
      <c r="L20" s="55">
        <f t="shared" si="10"/>
        <v>0</v>
      </c>
      <c r="M20" s="55">
        <f t="shared" si="11"/>
        <v>0</v>
      </c>
      <c r="N20" s="55">
        <f t="shared" si="12"/>
        <v>0</v>
      </c>
      <c r="O20" s="55">
        <f t="shared" si="13"/>
        <v>0</v>
      </c>
    </row>
    <row r="21" spans="1:21">
      <c r="A21" s="63">
        <v>222</v>
      </c>
      <c r="B21" s="63">
        <v>901</v>
      </c>
      <c r="C21" s="82"/>
      <c r="D21" s="81"/>
      <c r="E21" s="81"/>
      <c r="F21" s="84">
        <f t="shared" si="5"/>
        <v>0</v>
      </c>
      <c r="G21" s="85">
        <f t="shared" si="6"/>
        <v>0</v>
      </c>
      <c r="H21" s="84">
        <f t="shared" si="4"/>
        <v>0</v>
      </c>
      <c r="I21" s="55">
        <f t="shared" si="7"/>
        <v>0</v>
      </c>
      <c r="J21" s="55">
        <f t="shared" si="8"/>
        <v>0</v>
      </c>
      <c r="K21" s="55">
        <f t="shared" si="9"/>
        <v>0</v>
      </c>
      <c r="L21" s="55">
        <f t="shared" si="10"/>
        <v>0</v>
      </c>
      <c r="M21" s="55">
        <f t="shared" si="11"/>
        <v>0</v>
      </c>
      <c r="N21" s="55">
        <f t="shared" si="12"/>
        <v>0</v>
      </c>
      <c r="O21" s="55">
        <f t="shared" si="13"/>
        <v>0</v>
      </c>
    </row>
    <row r="22" spans="1:21">
      <c r="A22" s="63">
        <v>223</v>
      </c>
      <c r="B22" s="63">
        <v>901</v>
      </c>
      <c r="C22" s="82"/>
      <c r="D22" s="81"/>
      <c r="E22" s="81"/>
      <c r="F22" s="84">
        <f t="shared" si="5"/>
        <v>0</v>
      </c>
      <c r="G22" s="85">
        <f t="shared" si="6"/>
        <v>0</v>
      </c>
      <c r="H22" s="84">
        <f t="shared" si="4"/>
        <v>0</v>
      </c>
      <c r="I22" s="55">
        <f t="shared" si="7"/>
        <v>0</v>
      </c>
      <c r="J22" s="55">
        <f t="shared" si="8"/>
        <v>0</v>
      </c>
      <c r="K22" s="55">
        <f t="shared" si="9"/>
        <v>0</v>
      </c>
      <c r="L22" s="55">
        <f t="shared" si="10"/>
        <v>0</v>
      </c>
      <c r="M22" s="55">
        <f t="shared" si="11"/>
        <v>0</v>
      </c>
      <c r="N22" s="55">
        <f t="shared" si="12"/>
        <v>0</v>
      </c>
      <c r="O22" s="55">
        <f t="shared" si="13"/>
        <v>0</v>
      </c>
    </row>
    <row r="23" spans="1:21">
      <c r="A23" s="63">
        <v>224</v>
      </c>
      <c r="B23" s="63">
        <v>901</v>
      </c>
      <c r="C23" s="82"/>
      <c r="D23" s="81"/>
      <c r="E23" s="81"/>
      <c r="F23" s="84">
        <f t="shared" si="5"/>
        <v>0</v>
      </c>
      <c r="G23" s="85">
        <f t="shared" si="6"/>
        <v>0</v>
      </c>
      <c r="H23" s="84">
        <f t="shared" si="4"/>
        <v>0</v>
      </c>
      <c r="I23" s="55">
        <f t="shared" si="7"/>
        <v>0</v>
      </c>
      <c r="J23" s="55">
        <f t="shared" si="8"/>
        <v>0</v>
      </c>
      <c r="K23" s="55">
        <f t="shared" si="9"/>
        <v>0</v>
      </c>
      <c r="L23" s="55">
        <f t="shared" si="10"/>
        <v>0</v>
      </c>
      <c r="M23" s="55">
        <f t="shared" si="11"/>
        <v>0</v>
      </c>
      <c r="N23" s="55">
        <f t="shared" si="12"/>
        <v>0</v>
      </c>
      <c r="O23" s="55">
        <f t="shared" si="13"/>
        <v>0</v>
      </c>
    </row>
    <row r="24" spans="1:21">
      <c r="A24" s="63">
        <v>225</v>
      </c>
      <c r="B24" s="63">
        <v>901</v>
      </c>
      <c r="C24" s="82"/>
      <c r="D24" s="81"/>
      <c r="E24" s="81"/>
      <c r="F24" s="84">
        <f t="shared" si="5"/>
        <v>0</v>
      </c>
      <c r="G24" s="85">
        <f t="shared" si="6"/>
        <v>0</v>
      </c>
      <c r="H24" s="84">
        <f t="shared" si="4"/>
        <v>0</v>
      </c>
      <c r="I24" s="55">
        <f t="shared" si="7"/>
        <v>0</v>
      </c>
      <c r="J24" s="55">
        <f t="shared" si="8"/>
        <v>0</v>
      </c>
      <c r="K24" s="55">
        <f t="shared" si="9"/>
        <v>0</v>
      </c>
      <c r="L24" s="55">
        <f t="shared" si="10"/>
        <v>0</v>
      </c>
      <c r="M24" s="55">
        <f t="shared" si="11"/>
        <v>0</v>
      </c>
      <c r="N24" s="55">
        <f t="shared" si="12"/>
        <v>0</v>
      </c>
      <c r="O24" s="55">
        <f t="shared" si="13"/>
        <v>0</v>
      </c>
    </row>
    <row r="25" spans="1:21">
      <c r="A25" s="63">
        <v>226</v>
      </c>
      <c r="B25" s="63">
        <v>901</v>
      </c>
      <c r="C25" s="82"/>
      <c r="D25" s="81"/>
      <c r="E25" s="81"/>
      <c r="F25" s="84">
        <f t="shared" si="5"/>
        <v>0</v>
      </c>
      <c r="G25" s="85">
        <f t="shared" si="6"/>
        <v>0</v>
      </c>
      <c r="H25" s="84">
        <f t="shared" si="4"/>
        <v>0</v>
      </c>
      <c r="I25" s="55">
        <f t="shared" si="7"/>
        <v>0</v>
      </c>
      <c r="J25" s="55">
        <f t="shared" si="8"/>
        <v>0</v>
      </c>
      <c r="K25" s="55">
        <f t="shared" si="9"/>
        <v>0</v>
      </c>
      <c r="L25" s="55">
        <f t="shared" si="10"/>
        <v>0</v>
      </c>
      <c r="M25" s="55">
        <f t="shared" si="11"/>
        <v>0</v>
      </c>
      <c r="N25" s="55">
        <f t="shared" si="12"/>
        <v>0</v>
      </c>
      <c r="O25" s="55">
        <f t="shared" si="13"/>
        <v>0</v>
      </c>
    </row>
    <row r="26" spans="1:21">
      <c r="A26" s="63">
        <v>291</v>
      </c>
      <c r="B26" s="63">
        <v>901</v>
      </c>
      <c r="C26" s="82"/>
      <c r="D26" s="81"/>
      <c r="E26" s="81"/>
      <c r="F26" s="84">
        <f>ROUND(C26/$E$4,2)</f>
        <v>0</v>
      </c>
      <c r="G26" s="85">
        <f t="shared" si="6"/>
        <v>0</v>
      </c>
      <c r="H26" s="84">
        <f t="shared" si="4"/>
        <v>0</v>
      </c>
      <c r="I26" s="55">
        <f t="shared" si="7"/>
        <v>0</v>
      </c>
      <c r="J26" s="55">
        <f t="shared" si="8"/>
        <v>0</v>
      </c>
      <c r="K26" s="55">
        <f t="shared" si="9"/>
        <v>0</v>
      </c>
      <c r="L26" s="55">
        <f t="shared" si="10"/>
        <v>0</v>
      </c>
      <c r="M26" s="55">
        <f t="shared" si="11"/>
        <v>0</v>
      </c>
      <c r="N26" s="55">
        <f t="shared" si="12"/>
        <v>0</v>
      </c>
      <c r="O26" s="55">
        <f t="shared" si="13"/>
        <v>0</v>
      </c>
    </row>
    <row r="27" spans="1:21">
      <c r="A27" s="63" t="s">
        <v>244</v>
      </c>
      <c r="B27" s="63">
        <v>901</v>
      </c>
      <c r="C27" s="82"/>
      <c r="D27" s="81"/>
      <c r="E27" s="81"/>
      <c r="F27" s="84">
        <f t="shared" si="5"/>
        <v>0</v>
      </c>
      <c r="G27" s="85">
        <f t="shared" si="6"/>
        <v>0</v>
      </c>
      <c r="H27" s="84">
        <f t="shared" si="4"/>
        <v>0</v>
      </c>
      <c r="I27" s="55">
        <f t="shared" si="7"/>
        <v>0</v>
      </c>
      <c r="J27" s="55">
        <f t="shared" si="8"/>
        <v>0</v>
      </c>
      <c r="K27" s="55">
        <f t="shared" si="9"/>
        <v>0</v>
      </c>
      <c r="L27" s="55">
        <f t="shared" si="10"/>
        <v>0</v>
      </c>
      <c r="M27" s="55">
        <f t="shared" si="11"/>
        <v>0</v>
      </c>
      <c r="N27" s="55">
        <f t="shared" si="12"/>
        <v>0</v>
      </c>
      <c r="O27" s="55">
        <f t="shared" si="13"/>
        <v>0</v>
      </c>
    </row>
    <row r="28" spans="1:21">
      <c r="C28" s="72">
        <f>C15+C17+C18+C20+C22+C23+C24+C25</f>
        <v>0</v>
      </c>
      <c r="F28" s="58"/>
      <c r="G28" s="94">
        <f>G16+G17+G18+G19+G20+G21+G22+G23+G24+G25+G26+G27</f>
        <v>-0.90000000011059456</v>
      </c>
      <c r="H28" s="83">
        <f>H16+H17+H18+H19+H20+H21+H22+H23+H24+H25+H26+H27</f>
        <v>0.90000000011059456</v>
      </c>
      <c r="I28" s="83">
        <f>IF(I4=0,0,I16+I17+I18+I19+I20+I21+I22+I23+I24+I25+I26+I27)</f>
        <v>-10091.859999999997</v>
      </c>
      <c r="J28" s="83">
        <f t="shared" ref="J28:O28" si="14">IF(J4=0,0,J16+J17+J18+J19+J20+J21+J22+J23+J24+J25+J26+J27)</f>
        <v>25498.04</v>
      </c>
      <c r="K28" s="83">
        <f t="shared" si="14"/>
        <v>1402.6399999999994</v>
      </c>
      <c r="L28" s="83">
        <f t="shared" si="14"/>
        <v>61541.64</v>
      </c>
      <c r="M28" s="83">
        <f t="shared" si="14"/>
        <v>6857.0400000000009</v>
      </c>
      <c r="N28" s="83">
        <f t="shared" si="14"/>
        <v>0</v>
      </c>
      <c r="O28" s="83">
        <f t="shared" si="14"/>
        <v>0</v>
      </c>
      <c r="P28" s="83"/>
    </row>
    <row r="29" spans="1:21">
      <c r="I29" s="499">
        <f>IF((I4+J4)=0,0,ROUND((I28*I4+J28*J4)/(I4+J4),2))</f>
        <v>-8687</v>
      </c>
      <c r="J29" s="499"/>
      <c r="K29" s="499">
        <f t="shared" ref="K29" si="15">IF((K4+L4)=0,0,ROUND((K28*K4+L28*L4)/(K4+L4),2))</f>
        <v>4975.25</v>
      </c>
      <c r="L29" s="499"/>
      <c r="M29" s="499">
        <f t="shared" ref="M29" si="16">IF((M4+N4)=0,0,ROUND((M28*M4+N28*N4)/(M4+N4),2))</f>
        <v>6857.04</v>
      </c>
      <c r="N29" s="499"/>
      <c r="O29" s="55">
        <f>O28</f>
        <v>0</v>
      </c>
    </row>
    <row r="30" spans="1:21">
      <c r="N30" s="72"/>
    </row>
    <row r="32" spans="1:21">
      <c r="I32" s="72">
        <f>I29*(I4+J4)+K29*(K4+L4)+M29*(M4+N4)+O4*O29-C6</f>
        <v>0.17000000001280569</v>
      </c>
    </row>
    <row r="36" spans="1:5">
      <c r="A36" s="508" t="s">
        <v>297</v>
      </c>
      <c r="B36" s="508"/>
      <c r="C36" s="63"/>
      <c r="D36" s="63"/>
      <c r="E36" s="63"/>
    </row>
    <row r="37" spans="1:5">
      <c r="A37" s="63"/>
      <c r="B37" s="63"/>
      <c r="C37" s="63" t="s">
        <v>62</v>
      </c>
      <c r="D37" s="63"/>
      <c r="E37" s="63"/>
    </row>
    <row r="38" spans="1:5">
      <c r="A38" s="63"/>
      <c r="B38" s="63"/>
      <c r="C38" s="63" t="s">
        <v>55</v>
      </c>
      <c r="D38" s="63" t="s">
        <v>247</v>
      </c>
      <c r="E38" s="63" t="s">
        <v>248</v>
      </c>
    </row>
    <row r="39" spans="1:5">
      <c r="A39" s="63"/>
      <c r="B39" s="63"/>
      <c r="C39" s="63"/>
      <c r="D39" s="63"/>
      <c r="E39" s="63">
        <f>E4</f>
        <v>200</v>
      </c>
    </row>
    <row r="40" spans="1:5">
      <c r="A40" s="63"/>
      <c r="B40" s="63"/>
      <c r="C40" s="63"/>
      <c r="D40" s="63"/>
      <c r="E40" s="63"/>
    </row>
    <row r="41" spans="1:5">
      <c r="A41" s="513" t="s">
        <v>144</v>
      </c>
      <c r="B41" s="513"/>
      <c r="C41" s="244">
        <f>C33-ROUND(C39*D39*E39,2)</f>
        <v>0</v>
      </c>
      <c r="D41" s="63"/>
      <c r="E41" s="63"/>
    </row>
    <row r="50" spans="1:1">
      <c r="A50" s="55" t="s">
        <v>152</v>
      </c>
    </row>
    <row r="53" spans="1:1">
      <c r="A53" s="55" t="s">
        <v>153</v>
      </c>
    </row>
  </sheetData>
  <mergeCells count="9">
    <mergeCell ref="A41:B41"/>
    <mergeCell ref="A2:E2"/>
    <mergeCell ref="I2:J2"/>
    <mergeCell ref="K2:L2"/>
    <mergeCell ref="M2:N2"/>
    <mergeCell ref="I29:J29"/>
    <mergeCell ref="K29:L29"/>
    <mergeCell ref="M29:N29"/>
    <mergeCell ref="A36:B3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3"/>
  <sheetViews>
    <sheetView zoomScale="115" zoomScaleNormal="115" workbookViewId="0">
      <selection activeCell="L4" sqref="L4"/>
    </sheetView>
  </sheetViews>
  <sheetFormatPr defaultColWidth="9.140625" defaultRowHeight="12.75"/>
  <cols>
    <col min="1" max="1" width="10.140625" style="55" customWidth="1"/>
    <col min="2" max="2" width="7.5703125" style="55" customWidth="1"/>
    <col min="3" max="3" width="15.5703125" style="55" customWidth="1"/>
    <col min="4" max="4" width="18.140625" style="55" customWidth="1"/>
    <col min="5" max="5" width="15.140625" style="55" customWidth="1"/>
    <col min="6" max="6" width="8" style="55" customWidth="1"/>
    <col min="7" max="7" width="13.42578125" style="55" bestFit="1" customWidth="1"/>
    <col min="8" max="8" width="15.85546875" style="55" customWidth="1"/>
    <col min="9" max="9" width="13.42578125" style="55" customWidth="1"/>
    <col min="10" max="10" width="10.7109375" style="55" bestFit="1" customWidth="1"/>
    <col min="11" max="11" width="9.140625" style="55"/>
    <col min="12" max="12" width="11.140625" style="55" customWidth="1"/>
    <col min="13" max="13" width="9.140625" style="55"/>
    <col min="14" max="14" width="10.140625" style="55" bestFit="1" customWidth="1"/>
    <col min="15" max="17" width="9.140625" style="55"/>
    <col min="18" max="18" width="0" style="55" hidden="1" customWidth="1"/>
    <col min="19" max="19" width="12.140625" style="55" hidden="1" customWidth="1"/>
    <col min="20" max="20" width="12.42578125" style="55" hidden="1" customWidth="1"/>
    <col min="21" max="21" width="0" style="55" hidden="1" customWidth="1"/>
    <col min="22" max="16384" width="9.140625" style="55"/>
  </cols>
  <sheetData>
    <row r="1" spans="1:20" ht="15.75">
      <c r="F1" s="58"/>
      <c r="G1" s="58"/>
      <c r="H1" s="58"/>
      <c r="I1" s="57" t="s">
        <v>150</v>
      </c>
      <c r="J1" s="57"/>
      <c r="K1" s="57"/>
      <c r="L1" s="57"/>
      <c r="M1" s="57"/>
      <c r="N1" s="80"/>
      <c r="O1" s="57"/>
      <c r="P1" s="57"/>
      <c r="Q1" s="80"/>
      <c r="R1" s="80"/>
    </row>
    <row r="2" spans="1:20" ht="18">
      <c r="A2" s="512" t="s">
        <v>147</v>
      </c>
      <c r="B2" s="512"/>
      <c r="C2" s="512"/>
      <c r="D2" s="512"/>
      <c r="E2" s="512"/>
      <c r="F2" s="58"/>
      <c r="G2" s="58"/>
      <c r="H2" s="58"/>
      <c r="I2" s="510" t="s">
        <v>303</v>
      </c>
      <c r="J2" s="510"/>
      <c r="K2" s="510" t="s">
        <v>301</v>
      </c>
      <c r="L2" s="510"/>
      <c r="M2" s="510" t="s">
        <v>302</v>
      </c>
      <c r="N2" s="510"/>
      <c r="O2" s="57"/>
      <c r="R2" s="57" t="s">
        <v>204</v>
      </c>
      <c r="S2" s="57"/>
    </row>
    <row r="3" spans="1:20">
      <c r="F3" s="58"/>
      <c r="G3" s="58"/>
      <c r="H3" s="58"/>
      <c r="I3" s="57" t="s">
        <v>205</v>
      </c>
      <c r="J3" s="55" t="s">
        <v>292</v>
      </c>
      <c r="K3" s="57" t="s">
        <v>205</v>
      </c>
      <c r="L3" s="55" t="s">
        <v>292</v>
      </c>
      <c r="M3" s="57" t="s">
        <v>205</v>
      </c>
      <c r="N3" s="55" t="s">
        <v>292</v>
      </c>
      <c r="O3" s="57"/>
      <c r="P3" s="57"/>
      <c r="R3" s="92" t="s">
        <v>151</v>
      </c>
      <c r="S3" s="92" t="s">
        <v>148</v>
      </c>
      <c r="T3" s="92" t="s">
        <v>149</v>
      </c>
    </row>
    <row r="4" spans="1:20" ht="18.75">
      <c r="C4" s="55" t="s">
        <v>85</v>
      </c>
      <c r="E4" s="55">
        <f>I4+J4+K4+L4+M4+N4+O4</f>
        <v>203</v>
      </c>
      <c r="F4" s="58"/>
      <c r="G4" s="58" t="s">
        <v>144</v>
      </c>
      <c r="H4" s="58"/>
      <c r="I4" s="78">
        <v>79</v>
      </c>
      <c r="J4" s="78">
        <v>2</v>
      </c>
      <c r="K4" s="78">
        <v>95</v>
      </c>
      <c r="L4" s="78">
        <v>4</v>
      </c>
      <c r="M4" s="78">
        <v>23</v>
      </c>
      <c r="N4" s="78">
        <v>0</v>
      </c>
      <c r="O4" s="78"/>
      <c r="P4" s="91"/>
      <c r="Q4" s="57"/>
      <c r="R4" s="95">
        <v>0</v>
      </c>
      <c r="S4" s="95">
        <v>0</v>
      </c>
      <c r="T4" s="95">
        <v>0</v>
      </c>
    </row>
    <row r="5" spans="1:20">
      <c r="A5" s="63" t="s">
        <v>75</v>
      </c>
      <c r="B5" s="63" t="s">
        <v>146</v>
      </c>
      <c r="C5" s="63" t="s">
        <v>145</v>
      </c>
      <c r="D5" s="63" t="s">
        <v>55</v>
      </c>
      <c r="E5" s="63" t="s">
        <v>144</v>
      </c>
      <c r="F5" s="58"/>
      <c r="G5" s="58"/>
      <c r="H5" s="58"/>
      <c r="I5" s="142"/>
      <c r="J5" s="142"/>
      <c r="K5" s="142"/>
      <c r="L5" s="142"/>
      <c r="M5" s="142"/>
      <c r="N5" s="142"/>
      <c r="O5" s="142"/>
      <c r="P5" s="57"/>
      <c r="Q5" s="57"/>
      <c r="R5" s="92"/>
      <c r="S5" s="92"/>
      <c r="T5" s="92"/>
    </row>
    <row r="6" spans="1:20" s="83" customFormat="1">
      <c r="A6" s="89"/>
      <c r="B6" s="89"/>
      <c r="C6" s="90">
        <f>SUM(C14:C27)</f>
        <v>0</v>
      </c>
      <c r="D6" s="90"/>
      <c r="E6" s="90"/>
      <c r="F6" s="85"/>
      <c r="G6" s="85"/>
      <c r="H6" s="85"/>
      <c r="I6" s="95">
        <f>'проверка 2021'!I6</f>
        <v>0</v>
      </c>
      <c r="J6" s="95">
        <f>'проверка 2021'!J6</f>
        <v>0</v>
      </c>
      <c r="K6" s="95">
        <f>'проверка 2021'!K6</f>
        <v>0</v>
      </c>
      <c r="L6" s="95">
        <f>'проверка 2021'!L6</f>
        <v>0</v>
      </c>
      <c r="M6" s="95">
        <f>'проверка 2021'!M6</f>
        <v>0</v>
      </c>
      <c r="N6" s="95">
        <f>'проверка 2021'!N6</f>
        <v>0</v>
      </c>
      <c r="O6" s="95">
        <f>'проверка 2021'!O6</f>
        <v>0</v>
      </c>
      <c r="P6" s="57" t="s">
        <v>157</v>
      </c>
      <c r="Q6" s="57"/>
      <c r="R6" s="92"/>
      <c r="S6" s="92"/>
      <c r="T6" s="92"/>
    </row>
    <row r="7" spans="1:20" s="83" customFormat="1">
      <c r="A7" s="89">
        <v>211</v>
      </c>
      <c r="B7" s="88" t="s">
        <v>143</v>
      </c>
      <c r="C7" s="87"/>
      <c r="D7" s="86"/>
      <c r="E7" s="81"/>
      <c r="F7" s="58"/>
      <c r="G7" s="58"/>
      <c r="H7" s="58"/>
      <c r="I7" s="213">
        <v>3106.7</v>
      </c>
      <c r="J7" s="214"/>
      <c r="K7" s="213">
        <v>4032.82</v>
      </c>
      <c r="L7" s="214"/>
      <c r="M7" s="213">
        <v>4238.63</v>
      </c>
      <c r="N7" s="209"/>
      <c r="O7" s="209"/>
      <c r="P7" s="57" t="s">
        <v>156</v>
      </c>
      <c r="Q7" s="57"/>
      <c r="R7" s="92"/>
      <c r="S7" s="92"/>
      <c r="T7" s="92"/>
    </row>
    <row r="8" spans="1:20" s="83" customFormat="1">
      <c r="A8" s="89">
        <v>213</v>
      </c>
      <c r="B8" s="88" t="s">
        <v>143</v>
      </c>
      <c r="C8" s="87"/>
      <c r="D8" s="86"/>
      <c r="E8" s="81"/>
      <c r="F8" s="84"/>
      <c r="G8" s="84"/>
      <c r="H8" s="84">
        <f>I8*$I$4+J8*$J$4+K8*$K$4+L8*$L$4+M8*$M$4+N8*$N$4+O8*$O$4</f>
        <v>5339073.3</v>
      </c>
      <c r="I8" s="211">
        <v>19518.2</v>
      </c>
      <c r="J8" s="211">
        <v>46006.5</v>
      </c>
      <c r="K8" s="211">
        <v>28135.9</v>
      </c>
      <c r="L8" s="211">
        <v>72905.3</v>
      </c>
      <c r="M8" s="211">
        <v>32199.599999999999</v>
      </c>
      <c r="N8" s="211">
        <v>114664.6</v>
      </c>
      <c r="O8" s="210">
        <f>IF(O4=0,0,ROUND((R8*R4+S8*S4+T8*T4)/O4,0))</f>
        <v>0</v>
      </c>
      <c r="P8" s="57" t="s">
        <v>154</v>
      </c>
      <c r="Q8" s="57"/>
      <c r="R8" s="211">
        <f>J8</f>
        <v>46006.5</v>
      </c>
      <c r="S8" s="211">
        <f>L8</f>
        <v>72905.3</v>
      </c>
      <c r="T8" s="211">
        <f>N8</f>
        <v>114664.6</v>
      </c>
    </row>
    <row r="9" spans="1:20" s="83" customFormat="1">
      <c r="A9" s="89">
        <v>221</v>
      </c>
      <c r="B9" s="88" t="s">
        <v>143</v>
      </c>
      <c r="C9" s="87"/>
      <c r="D9" s="86"/>
      <c r="E9" s="81"/>
      <c r="F9" s="84"/>
      <c r="G9" s="84"/>
      <c r="H9" s="84">
        <f>I9*$I$4+J9*$J$4+K9*$K$4+L9*$L$4+M9*$M$4+N9*$N$4+O9*$O$4</f>
        <v>1719511.8</v>
      </c>
      <c r="I9" s="211">
        <v>6191.5</v>
      </c>
      <c r="J9" s="211">
        <v>15293.1</v>
      </c>
      <c r="K9" s="241">
        <v>9068.2999999999993</v>
      </c>
      <c r="L9" s="242">
        <v>24437.9</v>
      </c>
      <c r="M9" s="241">
        <v>10459</v>
      </c>
      <c r="N9" s="242">
        <v>38750.5</v>
      </c>
      <c r="O9" s="210">
        <f>IF(O4=0,0,ROUND((R9*R4+S9*S4+T9*T4)/O4,0))</f>
        <v>0</v>
      </c>
      <c r="P9" s="57" t="s">
        <v>155</v>
      </c>
      <c r="Q9" s="57"/>
      <c r="R9" s="211">
        <f>J9</f>
        <v>15293.1</v>
      </c>
      <c r="S9" s="212">
        <f>L9</f>
        <v>24437.9</v>
      </c>
      <c r="T9" s="212">
        <f>N9</f>
        <v>38750.5</v>
      </c>
    </row>
    <row r="10" spans="1:20" s="83" customFormat="1">
      <c r="A10" s="89">
        <v>226</v>
      </c>
      <c r="B10" s="88" t="s">
        <v>143</v>
      </c>
      <c r="C10" s="93"/>
      <c r="D10" s="86"/>
      <c r="E10" s="81"/>
      <c r="F10" s="84">
        <f>ROUND(C10/$E$4,2)</f>
        <v>0</v>
      </c>
      <c r="G10" s="84"/>
      <c r="H10" s="84"/>
      <c r="I10" s="55">
        <f>$F$10</f>
        <v>0</v>
      </c>
      <c r="J10" s="55">
        <f t="shared" ref="J10:O10" si="0">$F$10</f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5">
        <f t="shared" si="0"/>
        <v>0</v>
      </c>
      <c r="P10" s="57"/>
      <c r="Q10" s="57"/>
      <c r="R10" s="57"/>
      <c r="S10" s="57"/>
      <c r="T10" s="57"/>
    </row>
    <row r="11" spans="1:20" s="83" customFormat="1">
      <c r="A11" s="89">
        <v>226</v>
      </c>
      <c r="B11" s="88" t="s">
        <v>143</v>
      </c>
      <c r="C11" s="87"/>
      <c r="D11" s="86"/>
      <c r="E11" s="81"/>
      <c r="F11" s="84"/>
      <c r="G11" s="84"/>
      <c r="H11" s="84"/>
      <c r="I11" s="141"/>
      <c r="J11" s="141"/>
      <c r="K11" s="141"/>
      <c r="L11" s="141"/>
      <c r="M11" s="141"/>
      <c r="N11" s="141"/>
      <c r="O11" s="141"/>
      <c r="P11" s="57"/>
      <c r="Q11" s="57"/>
      <c r="R11" s="57"/>
      <c r="S11" s="57"/>
      <c r="T11" s="57"/>
    </row>
    <row r="12" spans="1:20" s="83" customFormat="1">
      <c r="A12" s="89">
        <v>310</v>
      </c>
      <c r="B12" s="88" t="s">
        <v>143</v>
      </c>
      <c r="C12" s="87"/>
      <c r="D12" s="86"/>
      <c r="E12" s="81"/>
      <c r="F12" s="84"/>
      <c r="G12" s="85"/>
      <c r="I12" s="312">
        <v>79</v>
      </c>
      <c r="J12" s="312">
        <v>95</v>
      </c>
      <c r="K12" s="312">
        <v>23</v>
      </c>
      <c r="L12" s="312">
        <v>2</v>
      </c>
      <c r="M12" s="312">
        <v>4</v>
      </c>
      <c r="N12" s="313">
        <v>0</v>
      </c>
      <c r="O12" s="57"/>
      <c r="P12" s="57"/>
      <c r="Q12" s="57"/>
      <c r="R12" s="57"/>
    </row>
    <row r="13" spans="1:20" s="83" customFormat="1">
      <c r="A13" s="89" t="s">
        <v>244</v>
      </c>
      <c r="B13" s="88" t="s">
        <v>143</v>
      </c>
      <c r="C13" s="87"/>
      <c r="D13" s="86"/>
      <c r="E13" s="81"/>
      <c r="F13" s="84"/>
      <c r="G13" s="84"/>
    </row>
    <row r="14" spans="1:20" s="83" customFormat="1" ht="13.5" thickBot="1">
      <c r="A14" s="89"/>
      <c r="B14" s="88"/>
      <c r="C14" s="96">
        <f>SUM(C7:C13)</f>
        <v>0</v>
      </c>
      <c r="D14" s="96"/>
      <c r="E14" s="96"/>
      <c r="F14" s="84"/>
      <c r="G14" s="85">
        <f>H14-C14</f>
        <v>7058585.0999999996</v>
      </c>
      <c r="H14" s="84">
        <f>I14*$I$4+J4*$J$14+K14*$K$4+L14*$L$4+M14*$M$4+N14*$N$4+O14*$O$4</f>
        <v>7058585.0999999996</v>
      </c>
      <c r="I14" s="77">
        <f>ROUND(IF(I4=0,0,I8+I9+I10)+IF(I6=0,0,I7/I4),2)</f>
        <v>25709.7</v>
      </c>
      <c r="J14" s="77">
        <f t="shared" ref="J14:O14" si="1">ROUND(IF(J4=0,0,J8+J9+J10)+IF(J6=0,0,J7/J4),2)</f>
        <v>61299.6</v>
      </c>
      <c r="K14" s="77">
        <f>ROUND(IF(K4=0,0,K8+K9+K10)+IF(K6=0,0,K7/K4),2)</f>
        <v>37204.199999999997</v>
      </c>
      <c r="L14" s="77">
        <f t="shared" si="1"/>
        <v>97343.2</v>
      </c>
      <c r="M14" s="77">
        <f t="shared" si="1"/>
        <v>42658.6</v>
      </c>
      <c r="N14" s="77">
        <f t="shared" si="1"/>
        <v>0</v>
      </c>
      <c r="O14" s="77">
        <f t="shared" si="1"/>
        <v>0</v>
      </c>
      <c r="P14" s="140"/>
    </row>
    <row r="15" spans="1:20" s="83" customFormat="1">
      <c r="A15" s="89"/>
      <c r="B15" s="88"/>
      <c r="C15" s="96"/>
      <c r="D15" s="96"/>
      <c r="E15" s="96"/>
      <c r="F15" s="84"/>
      <c r="G15" s="85"/>
      <c r="H15" s="84" t="s">
        <v>159</v>
      </c>
      <c r="I15" s="83">
        <f>-ROUND($G$14/$E$4,2)</f>
        <v>-34771.360000000001</v>
      </c>
      <c r="J15" s="83">
        <f t="shared" ref="J15:O15" si="2">-ROUND($G$14/$E$4,2)</f>
        <v>-34771.360000000001</v>
      </c>
      <c r="K15" s="83">
        <f t="shared" si="2"/>
        <v>-34771.360000000001</v>
      </c>
      <c r="L15" s="83">
        <f t="shared" si="2"/>
        <v>-34771.360000000001</v>
      </c>
      <c r="M15" s="83">
        <f t="shared" si="2"/>
        <v>-34771.360000000001</v>
      </c>
      <c r="N15" s="83">
        <f t="shared" si="2"/>
        <v>-34771.360000000001</v>
      </c>
      <c r="O15" s="83">
        <f t="shared" si="2"/>
        <v>-34771.360000000001</v>
      </c>
    </row>
    <row r="16" spans="1:20" s="83" customFormat="1">
      <c r="A16" s="89"/>
      <c r="B16" s="88"/>
      <c r="C16" s="96" t="s">
        <v>295</v>
      </c>
      <c r="D16" s="96"/>
      <c r="E16" s="96"/>
      <c r="F16" s="84"/>
      <c r="G16" s="85">
        <f>C14-H16</f>
        <v>0.98000000038882717</v>
      </c>
      <c r="H16" s="84">
        <f>I16*$I$4+J16*$J$4+K16*$K$4+L16*$L$4+M16*$M$4+N16*$N$4+O16*$O$4</f>
        <v>-0.98000000038882717</v>
      </c>
      <c r="I16" s="83">
        <f>I14+I15</f>
        <v>-9061.66</v>
      </c>
      <c r="J16" s="83">
        <f>J14+J15</f>
        <v>26528.239999999998</v>
      </c>
      <c r="K16" s="83">
        <f t="shared" ref="K16:O16" si="3">K14+K15</f>
        <v>2432.8399999999965</v>
      </c>
      <c r="L16" s="83">
        <f t="shared" si="3"/>
        <v>62571.839999999997</v>
      </c>
      <c r="M16" s="83">
        <f t="shared" si="3"/>
        <v>7887.239999999998</v>
      </c>
      <c r="N16" s="83">
        <f t="shared" si="3"/>
        <v>-34771.360000000001</v>
      </c>
      <c r="O16" s="83">
        <f t="shared" si="3"/>
        <v>-34771.360000000001</v>
      </c>
    </row>
    <row r="17" spans="1:21">
      <c r="A17" s="63">
        <v>211</v>
      </c>
      <c r="B17" s="63">
        <v>901</v>
      </c>
      <c r="C17" s="82"/>
      <c r="D17" s="81"/>
      <c r="E17" s="81"/>
      <c r="F17" s="84">
        <f>ROUND(C17/$E$4,2)</f>
        <v>0</v>
      </c>
      <c r="G17" s="85">
        <f>H17-C17</f>
        <v>0</v>
      </c>
      <c r="H17" s="84">
        <f t="shared" ref="H17:H27" si="4">I17*$I$4+J17*$J$4+K17*$K$4+L17*$L$4+M17*$M$4+N17*$N$4+O17*$O$4</f>
        <v>0</v>
      </c>
      <c r="I17" s="55">
        <f>IF($I$4=0,0,F17)</f>
        <v>0</v>
      </c>
      <c r="J17" s="55">
        <f>IF($J$4=0,0,F17)</f>
        <v>0</v>
      </c>
      <c r="K17" s="55">
        <f>IF($K$4=0,0,F17)</f>
        <v>0</v>
      </c>
      <c r="L17" s="55">
        <f>IF($L$4=0,0,F17)</f>
        <v>0</v>
      </c>
      <c r="M17" s="55">
        <f>IF($M$4=0,0,F17)</f>
        <v>0</v>
      </c>
      <c r="N17" s="55">
        <f>IF($N$4=0,0,F17)</f>
        <v>0</v>
      </c>
      <c r="O17" s="55">
        <f>IF($O$4=0,0,F17)</f>
        <v>0</v>
      </c>
      <c r="R17" s="57"/>
      <c r="S17" s="57"/>
      <c r="T17" s="57"/>
      <c r="U17" s="57"/>
    </row>
    <row r="18" spans="1:21">
      <c r="A18" s="63">
        <v>266</v>
      </c>
      <c r="B18" s="63">
        <v>901</v>
      </c>
      <c r="C18" s="82"/>
      <c r="D18" s="81"/>
      <c r="E18" s="81"/>
      <c r="F18" s="84">
        <f t="shared" ref="F18:F27" si="5">ROUND(C18/$E$4,2)</f>
        <v>0</v>
      </c>
      <c r="G18" s="85">
        <f t="shared" ref="G18:G27" si="6">H18-C18</f>
        <v>0</v>
      </c>
      <c r="H18" s="84">
        <f t="shared" si="4"/>
        <v>0</v>
      </c>
      <c r="I18" s="55">
        <f t="shared" ref="I18:I27" si="7">IF($I$4=0,0,F18)</f>
        <v>0</v>
      </c>
      <c r="J18" s="55">
        <f t="shared" ref="J18:J27" si="8">IF($J$4=0,0,F18)</f>
        <v>0</v>
      </c>
      <c r="K18" s="55">
        <f t="shared" ref="K18:K27" si="9">IF($K$4=0,0,I18)</f>
        <v>0</v>
      </c>
      <c r="L18" s="55">
        <f t="shared" ref="L18:L27" si="10">IF($L$4=0,0,F18)</f>
        <v>0</v>
      </c>
      <c r="M18" s="55">
        <f t="shared" ref="M18:M27" si="11">IF($M$4=0,0,F18)</f>
        <v>0</v>
      </c>
      <c r="N18" s="55">
        <f t="shared" ref="N18:N27" si="12">IF($N$4=0,0,F18)</f>
        <v>0</v>
      </c>
      <c r="O18" s="55">
        <f t="shared" ref="O18:O27" si="13">IF($O$4=0,0,F18)</f>
        <v>0</v>
      </c>
      <c r="R18" s="57"/>
      <c r="S18" s="57"/>
      <c r="T18" s="57"/>
      <c r="U18" s="57"/>
    </row>
    <row r="19" spans="1:21">
      <c r="A19" s="63">
        <v>213</v>
      </c>
      <c r="B19" s="63">
        <v>901</v>
      </c>
      <c r="C19" s="82"/>
      <c r="D19" s="81"/>
      <c r="E19" s="81"/>
      <c r="F19" s="84">
        <f t="shared" si="5"/>
        <v>0</v>
      </c>
      <c r="G19" s="85">
        <f t="shared" si="6"/>
        <v>0</v>
      </c>
      <c r="H19" s="84">
        <f t="shared" si="4"/>
        <v>0</v>
      </c>
      <c r="I19" s="55">
        <f t="shared" si="7"/>
        <v>0</v>
      </c>
      <c r="J19" s="55">
        <f t="shared" si="8"/>
        <v>0</v>
      </c>
      <c r="K19" s="55">
        <f t="shared" si="9"/>
        <v>0</v>
      </c>
      <c r="L19" s="55">
        <f t="shared" si="10"/>
        <v>0</v>
      </c>
      <c r="M19" s="55">
        <f t="shared" si="11"/>
        <v>0</v>
      </c>
      <c r="N19" s="55">
        <f t="shared" si="12"/>
        <v>0</v>
      </c>
      <c r="O19" s="55">
        <f t="shared" si="13"/>
        <v>0</v>
      </c>
    </row>
    <row r="20" spans="1:21">
      <c r="A20" s="63">
        <v>221</v>
      </c>
      <c r="B20" s="63">
        <v>901</v>
      </c>
      <c r="C20" s="82"/>
      <c r="D20" s="81"/>
      <c r="E20" s="81"/>
      <c r="F20" s="84">
        <f t="shared" si="5"/>
        <v>0</v>
      </c>
      <c r="G20" s="85">
        <f t="shared" si="6"/>
        <v>0</v>
      </c>
      <c r="H20" s="84">
        <f t="shared" si="4"/>
        <v>0</v>
      </c>
      <c r="I20" s="55">
        <f t="shared" si="7"/>
        <v>0</v>
      </c>
      <c r="J20" s="55">
        <f t="shared" si="8"/>
        <v>0</v>
      </c>
      <c r="K20" s="55">
        <f t="shared" si="9"/>
        <v>0</v>
      </c>
      <c r="L20" s="55">
        <f t="shared" si="10"/>
        <v>0</v>
      </c>
      <c r="M20" s="55">
        <f t="shared" si="11"/>
        <v>0</v>
      </c>
      <c r="N20" s="55">
        <f t="shared" si="12"/>
        <v>0</v>
      </c>
      <c r="O20" s="55">
        <f t="shared" si="13"/>
        <v>0</v>
      </c>
    </row>
    <row r="21" spans="1:21">
      <c r="A21" s="63">
        <v>222</v>
      </c>
      <c r="B21" s="63">
        <v>901</v>
      </c>
      <c r="C21" s="82"/>
      <c r="D21" s="81"/>
      <c r="E21" s="81"/>
      <c r="F21" s="84">
        <f t="shared" si="5"/>
        <v>0</v>
      </c>
      <c r="G21" s="85">
        <f t="shared" si="6"/>
        <v>0</v>
      </c>
      <c r="H21" s="84">
        <f t="shared" si="4"/>
        <v>0</v>
      </c>
      <c r="I21" s="55">
        <f t="shared" si="7"/>
        <v>0</v>
      </c>
      <c r="J21" s="55">
        <f t="shared" si="8"/>
        <v>0</v>
      </c>
      <c r="K21" s="55">
        <f t="shared" si="9"/>
        <v>0</v>
      </c>
      <c r="L21" s="55">
        <f t="shared" si="10"/>
        <v>0</v>
      </c>
      <c r="M21" s="55">
        <f t="shared" si="11"/>
        <v>0</v>
      </c>
      <c r="N21" s="55">
        <f t="shared" si="12"/>
        <v>0</v>
      </c>
      <c r="O21" s="55">
        <f t="shared" si="13"/>
        <v>0</v>
      </c>
    </row>
    <row r="22" spans="1:21">
      <c r="A22" s="63">
        <v>223</v>
      </c>
      <c r="B22" s="63">
        <v>901</v>
      </c>
      <c r="C22" s="82"/>
      <c r="D22" s="81"/>
      <c r="E22" s="81"/>
      <c r="F22" s="84">
        <f t="shared" si="5"/>
        <v>0</v>
      </c>
      <c r="G22" s="85">
        <f t="shared" si="6"/>
        <v>0</v>
      </c>
      <c r="H22" s="84">
        <f t="shared" si="4"/>
        <v>0</v>
      </c>
      <c r="I22" s="55">
        <f t="shared" si="7"/>
        <v>0</v>
      </c>
      <c r="J22" s="55">
        <f t="shared" si="8"/>
        <v>0</v>
      </c>
      <c r="K22" s="55">
        <f t="shared" si="9"/>
        <v>0</v>
      </c>
      <c r="L22" s="55">
        <f t="shared" si="10"/>
        <v>0</v>
      </c>
      <c r="M22" s="55">
        <f t="shared" si="11"/>
        <v>0</v>
      </c>
      <c r="N22" s="55">
        <f t="shared" si="12"/>
        <v>0</v>
      </c>
      <c r="O22" s="55">
        <f t="shared" si="13"/>
        <v>0</v>
      </c>
    </row>
    <row r="23" spans="1:21">
      <c r="A23" s="63">
        <v>224</v>
      </c>
      <c r="B23" s="63">
        <v>901</v>
      </c>
      <c r="C23" s="82"/>
      <c r="D23" s="81"/>
      <c r="E23" s="81"/>
      <c r="F23" s="84">
        <f t="shared" si="5"/>
        <v>0</v>
      </c>
      <c r="G23" s="85">
        <f t="shared" si="6"/>
        <v>0</v>
      </c>
      <c r="H23" s="84">
        <f t="shared" si="4"/>
        <v>0</v>
      </c>
      <c r="I23" s="55">
        <f t="shared" si="7"/>
        <v>0</v>
      </c>
      <c r="J23" s="55">
        <f t="shared" si="8"/>
        <v>0</v>
      </c>
      <c r="K23" s="55">
        <f t="shared" si="9"/>
        <v>0</v>
      </c>
      <c r="L23" s="55">
        <f t="shared" si="10"/>
        <v>0</v>
      </c>
      <c r="M23" s="55">
        <f t="shared" si="11"/>
        <v>0</v>
      </c>
      <c r="N23" s="55">
        <f t="shared" si="12"/>
        <v>0</v>
      </c>
      <c r="O23" s="55">
        <f t="shared" si="13"/>
        <v>0</v>
      </c>
    </row>
    <row r="24" spans="1:21">
      <c r="A24" s="63">
        <v>225</v>
      </c>
      <c r="B24" s="63">
        <v>901</v>
      </c>
      <c r="C24" s="82"/>
      <c r="D24" s="81"/>
      <c r="E24" s="81"/>
      <c r="F24" s="84">
        <f t="shared" si="5"/>
        <v>0</v>
      </c>
      <c r="G24" s="85">
        <f t="shared" si="6"/>
        <v>0</v>
      </c>
      <c r="H24" s="84">
        <f t="shared" si="4"/>
        <v>0</v>
      </c>
      <c r="I24" s="55">
        <f t="shared" si="7"/>
        <v>0</v>
      </c>
      <c r="J24" s="55">
        <f t="shared" si="8"/>
        <v>0</v>
      </c>
      <c r="K24" s="55">
        <f t="shared" si="9"/>
        <v>0</v>
      </c>
      <c r="L24" s="55">
        <f t="shared" si="10"/>
        <v>0</v>
      </c>
      <c r="M24" s="55">
        <f t="shared" si="11"/>
        <v>0</v>
      </c>
      <c r="N24" s="55">
        <f t="shared" si="12"/>
        <v>0</v>
      </c>
      <c r="O24" s="55">
        <f t="shared" si="13"/>
        <v>0</v>
      </c>
    </row>
    <row r="25" spans="1:21">
      <c r="A25" s="63">
        <v>226</v>
      </c>
      <c r="B25" s="63">
        <v>901</v>
      </c>
      <c r="C25" s="82"/>
      <c r="D25" s="81"/>
      <c r="E25" s="81"/>
      <c r="F25" s="84">
        <f t="shared" si="5"/>
        <v>0</v>
      </c>
      <c r="G25" s="85">
        <f t="shared" si="6"/>
        <v>0</v>
      </c>
      <c r="H25" s="84">
        <f t="shared" si="4"/>
        <v>0</v>
      </c>
      <c r="I25" s="55">
        <f t="shared" si="7"/>
        <v>0</v>
      </c>
      <c r="J25" s="55">
        <f t="shared" si="8"/>
        <v>0</v>
      </c>
      <c r="K25" s="55">
        <f t="shared" si="9"/>
        <v>0</v>
      </c>
      <c r="L25" s="55">
        <f t="shared" si="10"/>
        <v>0</v>
      </c>
      <c r="M25" s="55">
        <f t="shared" si="11"/>
        <v>0</v>
      </c>
      <c r="N25" s="55">
        <f t="shared" si="12"/>
        <v>0</v>
      </c>
      <c r="O25" s="55">
        <f t="shared" si="13"/>
        <v>0</v>
      </c>
    </row>
    <row r="26" spans="1:21">
      <c r="A26" s="63">
        <v>291</v>
      </c>
      <c r="B26" s="63">
        <v>901</v>
      </c>
      <c r="C26" s="82"/>
      <c r="D26" s="81"/>
      <c r="E26" s="81"/>
      <c r="F26" s="84">
        <f>ROUND(C26/$E$4,2)</f>
        <v>0</v>
      </c>
      <c r="G26" s="85">
        <f t="shared" si="6"/>
        <v>0</v>
      </c>
      <c r="H26" s="84">
        <f t="shared" si="4"/>
        <v>0</v>
      </c>
      <c r="I26" s="55">
        <f t="shared" si="7"/>
        <v>0</v>
      </c>
      <c r="J26" s="55">
        <f t="shared" si="8"/>
        <v>0</v>
      </c>
      <c r="K26" s="55">
        <f t="shared" si="9"/>
        <v>0</v>
      </c>
      <c r="L26" s="55">
        <f t="shared" si="10"/>
        <v>0</v>
      </c>
      <c r="M26" s="55">
        <f t="shared" si="11"/>
        <v>0</v>
      </c>
      <c r="N26" s="55">
        <f t="shared" si="12"/>
        <v>0</v>
      </c>
      <c r="O26" s="55">
        <f t="shared" si="13"/>
        <v>0</v>
      </c>
    </row>
    <row r="27" spans="1:21">
      <c r="A27" s="238" t="s">
        <v>244</v>
      </c>
      <c r="B27" s="63">
        <v>901</v>
      </c>
      <c r="C27" s="82"/>
      <c r="D27" s="81"/>
      <c r="E27" s="81"/>
      <c r="F27" s="84">
        <f t="shared" si="5"/>
        <v>0</v>
      </c>
      <c r="G27" s="85">
        <f t="shared" si="6"/>
        <v>0</v>
      </c>
      <c r="H27" s="84">
        <f t="shared" si="4"/>
        <v>0</v>
      </c>
      <c r="I27" s="55">
        <f t="shared" si="7"/>
        <v>0</v>
      </c>
      <c r="J27" s="55">
        <f t="shared" si="8"/>
        <v>0</v>
      </c>
      <c r="K27" s="55">
        <f t="shared" si="9"/>
        <v>0</v>
      </c>
      <c r="L27" s="55">
        <f t="shared" si="10"/>
        <v>0</v>
      </c>
      <c r="M27" s="55">
        <f t="shared" si="11"/>
        <v>0</v>
      </c>
      <c r="N27" s="55">
        <f t="shared" si="12"/>
        <v>0</v>
      </c>
      <c r="O27" s="55">
        <f t="shared" si="13"/>
        <v>0</v>
      </c>
    </row>
    <row r="28" spans="1:21">
      <c r="C28" s="82">
        <f>C17+C18+C19+C20+C21+C22+C23+C24+C25+C26+C27</f>
        <v>0</v>
      </c>
      <c r="F28" s="58"/>
      <c r="G28" s="94">
        <f>G16+G17+G18+G19+G20+G21+G22+G23+G24+G25+G26+G27</f>
        <v>0.98000000038882717</v>
      </c>
      <c r="H28" s="83">
        <f>H16+H17+H18+H19+H20+H21+H22+H23+H24+H25+H26+H27</f>
        <v>-0.98000000038882717</v>
      </c>
      <c r="I28" s="83">
        <f>IF(I4=0,0,I16+I17+I18+I19+I20+I21+I22+I23+I24+I25+I26+I27)</f>
        <v>-9061.66</v>
      </c>
      <c r="J28" s="83">
        <f t="shared" ref="J28:O28" si="14">IF(J4=0,0,J16+J17+J18+J19+J20+J21+J22+J23+J24+J25+J26+J27)</f>
        <v>26528.239999999998</v>
      </c>
      <c r="K28" s="83">
        <f>IF(K4=0,0,K16+K17+K18+K19+K20+K21+K22+K23+K24+K25+K26+K27)</f>
        <v>2432.8399999999965</v>
      </c>
      <c r="L28" s="83">
        <f t="shared" si="14"/>
        <v>62571.839999999997</v>
      </c>
      <c r="M28" s="83">
        <f t="shared" si="14"/>
        <v>7887.239999999998</v>
      </c>
      <c r="N28" s="83">
        <f t="shared" si="14"/>
        <v>0</v>
      </c>
      <c r="O28" s="83">
        <f t="shared" si="14"/>
        <v>0</v>
      </c>
      <c r="P28" s="83"/>
    </row>
    <row r="29" spans="1:21">
      <c r="I29" s="499">
        <f>IF((I4+J4)=0,0,ROUND((I28*I4+J28*J4)/(I4+J4),2))</f>
        <v>-8182.9</v>
      </c>
      <c r="J29" s="499"/>
      <c r="K29" s="499">
        <f>IF((K4+L4)=0,0,ROUND((K28*K4+L28*L4)/(K4+L4),2))</f>
        <v>4862.7</v>
      </c>
      <c r="L29" s="499"/>
      <c r="M29" s="499">
        <f t="shared" ref="M29" si="15">IF((M4+N4)=0,0,ROUND((M28*M4+N28*N4)/(M4+N4),2))</f>
        <v>7887.24</v>
      </c>
      <c r="N29" s="499"/>
      <c r="O29" s="55">
        <f>O28</f>
        <v>0</v>
      </c>
    </row>
    <row r="30" spans="1:21">
      <c r="N30" s="72"/>
    </row>
    <row r="32" spans="1:21">
      <c r="I32" s="72">
        <f>I29*(I4+J4)+K29*(K4+L4)+M29*(M4+N4)+O4*O29-C6</f>
        <v>-1.080000000045402</v>
      </c>
    </row>
    <row r="36" spans="1:5">
      <c r="A36" s="508" t="s">
        <v>246</v>
      </c>
      <c r="B36" s="508"/>
      <c r="C36" s="63"/>
      <c r="D36" s="63"/>
      <c r="E36" s="63"/>
    </row>
    <row r="37" spans="1:5">
      <c r="A37" s="63"/>
      <c r="B37" s="63"/>
      <c r="C37" s="63" t="s">
        <v>62</v>
      </c>
      <c r="D37" s="63"/>
      <c r="E37" s="63"/>
    </row>
    <row r="38" spans="1:5">
      <c r="A38" s="63"/>
      <c r="B38" s="63"/>
      <c r="C38" s="63" t="s">
        <v>55</v>
      </c>
      <c r="D38" s="63" t="s">
        <v>247</v>
      </c>
      <c r="E38" s="63" t="s">
        <v>248</v>
      </c>
    </row>
    <row r="39" spans="1:5">
      <c r="A39" s="63"/>
      <c r="B39" s="63"/>
      <c r="C39" s="63"/>
      <c r="D39" s="63"/>
      <c r="E39" s="63">
        <f>E4</f>
        <v>203</v>
      </c>
    </row>
    <row r="40" spans="1:5">
      <c r="A40" s="63"/>
      <c r="B40" s="63"/>
      <c r="C40" s="63"/>
      <c r="D40" s="63"/>
      <c r="E40" s="63"/>
    </row>
    <row r="41" spans="1:5">
      <c r="A41" s="513" t="s">
        <v>144</v>
      </c>
      <c r="B41" s="513"/>
      <c r="C41" s="244">
        <f>C28-ROUND(C39*D39*E39,2)</f>
        <v>0</v>
      </c>
      <c r="D41" s="63"/>
      <c r="E41" s="63"/>
    </row>
    <row r="50" spans="1:1">
      <c r="A50" s="55" t="s">
        <v>152</v>
      </c>
    </row>
    <row r="53" spans="1:1">
      <c r="A53" s="55" t="s">
        <v>153</v>
      </c>
    </row>
  </sheetData>
  <mergeCells count="9">
    <mergeCell ref="A41:B41"/>
    <mergeCell ref="A2:E2"/>
    <mergeCell ref="I2:J2"/>
    <mergeCell ref="K2:L2"/>
    <mergeCell ref="M2:N2"/>
    <mergeCell ref="I29:J29"/>
    <mergeCell ref="K29:L29"/>
    <mergeCell ref="M29:N29"/>
    <mergeCell ref="A36:B3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мз</vt:lpstr>
      <vt:lpstr>пр.1+2 </vt:lpstr>
      <vt:lpstr>пр.3</vt:lpstr>
      <vt:lpstr>пр.4</vt:lpstr>
      <vt:lpstr>пр.5</vt:lpstr>
      <vt:lpstr>пр.6</vt:lpstr>
      <vt:lpstr>проверка 2020</vt:lpstr>
      <vt:lpstr>проверка 2021</vt:lpstr>
      <vt:lpstr>проверка 2022</vt:lpstr>
      <vt:lpstr>304</vt:lpstr>
      <vt:lpstr>мз!Область_печати</vt:lpstr>
      <vt:lpstr>'пр.1+2 '!Область_печати</vt:lpstr>
      <vt:lpstr>пр.5!Область_печати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User</cp:lastModifiedBy>
  <cp:lastPrinted>2021-02-18T12:01:36Z</cp:lastPrinted>
  <dcterms:created xsi:type="dcterms:W3CDTF">2015-12-22T12:42:46Z</dcterms:created>
  <dcterms:modified xsi:type="dcterms:W3CDTF">2021-07-13T13:20:10Z</dcterms:modified>
</cp:coreProperties>
</file>