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0035" firstSheet="2" activeTab="5"/>
  </bookViews>
  <sheets>
    <sheet name="план " sheetId="8" r:id="rId1"/>
    <sheet name="вспомогательная" sheetId="1" r:id="rId2"/>
    <sheet name="закупки" sheetId="7" r:id="rId3"/>
    <sheet name="аренда" sheetId="4" r:id="rId4"/>
    <sheet name="возмещение" sheetId="5" r:id="rId5"/>
    <sheet name="иная прин " sheetId="6" r:id="rId6"/>
    <sheet name="местный" sheetId="3" r:id="rId7"/>
    <sheet name="12101Z1053" sheetId="9" r:id="rId8"/>
    <sheet name="1210171053" sheetId="10" r:id="rId9"/>
    <sheet name="субвенция" sheetId="11" r:id="rId10"/>
    <sheet name="классное" sheetId="12" r:id="rId11"/>
    <sheet name="лагерь" sheetId="13" r:id="rId12"/>
    <sheet name="1214S3042" sheetId="14" r:id="rId13"/>
    <sheet name="12124L3041" sheetId="15" r:id="rId14"/>
    <sheet name="1210921170" sheetId="16" r:id="rId15"/>
    <sheet name="1211221140" sheetId="17" r:id="rId16"/>
    <sheet name="платные" sheetId="18" r:id="rId17"/>
  </sheets>
  <externalReferences>
    <externalReference r:id="rId18"/>
  </externalReferences>
  <definedNames>
    <definedName name="TABLE" localSheetId="2">закупки!#REF!</definedName>
    <definedName name="TABLE_2" localSheetId="2">закупки!#REF!</definedName>
    <definedName name="_xlnm.Print_Titles" localSheetId="1">вспомогательная!$24:$26</definedName>
    <definedName name="_xlnm.Print_Titles" localSheetId="2">закупки!$3:$6</definedName>
    <definedName name="_xlnm.Print_Titles" localSheetId="0">'план '!$22:$24</definedName>
    <definedName name="_xlnm.Print_Area" localSheetId="1">вспомогательная!$B$1:$N$315</definedName>
    <definedName name="_xlnm.Print_Area" localSheetId="2">закупки!$A$1:$FF$66</definedName>
    <definedName name="_xlnm.Print_Area" localSheetId="6">местный!$A$1:$K$234</definedName>
    <definedName name="_xlnm.Print_Area" localSheetId="0">'план '!$B$1:$N$116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6"/>
  <c r="P9"/>
  <c r="O9"/>
  <c r="O19"/>
  <c r="H18"/>
  <c r="H17"/>
  <c r="F75" i="3" l="1"/>
  <c r="I79" l="1"/>
  <c r="F79"/>
  <c r="M100" i="8"/>
  <c r="L94"/>
  <c r="M94"/>
  <c r="K94"/>
  <c r="L100"/>
  <c r="K100"/>
  <c r="I49" i="11"/>
  <c r="E69"/>
  <c r="E34"/>
  <c r="E33"/>
  <c r="G24"/>
  <c r="I25"/>
  <c r="I23"/>
  <c r="I20"/>
  <c r="I19"/>
  <c r="I18"/>
  <c r="C26"/>
  <c r="D25"/>
  <c r="F24"/>
  <c r="D24"/>
  <c r="I24" s="1"/>
  <c r="D23"/>
  <c r="I26" l="1"/>
  <c r="F178" i="14"/>
  <c r="F66" i="15"/>
  <c r="D20" i="18"/>
  <c r="D19"/>
  <c r="I19" s="1"/>
  <c r="EG36" i="7"/>
  <c r="DT36"/>
  <c r="EG39"/>
  <c r="DT38"/>
  <c r="DT28"/>
  <c r="EG28"/>
  <c r="DG28"/>
  <c r="K216" i="1"/>
  <c r="DG11" i="7" l="1"/>
  <c r="G10" i="5"/>
  <c r="F10"/>
  <c r="H10"/>
  <c r="EG34" i="7"/>
  <c r="DT34"/>
  <c r="EG22"/>
  <c r="DT22"/>
  <c r="EG16"/>
  <c r="DT16"/>
  <c r="DG34"/>
  <c r="DG16"/>
  <c r="DG22" l="1"/>
  <c r="H70" i="18" l="1"/>
  <c r="G70"/>
  <c r="F70"/>
  <c r="F150"/>
  <c r="G150" s="1"/>
  <c r="H150" s="1"/>
  <c r="F149"/>
  <c r="G149" s="1"/>
  <c r="H149" s="1"/>
  <c r="H121"/>
  <c r="I121" s="1"/>
  <c r="G119"/>
  <c r="G114"/>
  <c r="H114"/>
  <c r="D115"/>
  <c r="G120"/>
  <c r="G122"/>
  <c r="F115"/>
  <c r="G113"/>
  <c r="G91"/>
  <c r="F202"/>
  <c r="F201"/>
  <c r="H200"/>
  <c r="F200"/>
  <c r="F199"/>
  <c r="G199" s="1"/>
  <c r="H199" s="1"/>
  <c r="F198"/>
  <c r="G198" s="1"/>
  <c r="H198" s="1"/>
  <c r="F197"/>
  <c r="G197" s="1"/>
  <c r="H197" s="1"/>
  <c r="F196"/>
  <c r="G196" s="1"/>
  <c r="H196" s="1"/>
  <c r="F195"/>
  <c r="G195" s="1"/>
  <c r="H195" s="1"/>
  <c r="F194"/>
  <c r="G194" s="1"/>
  <c r="H194" s="1"/>
  <c r="F193"/>
  <c r="G193" s="1"/>
  <c r="H193" s="1"/>
  <c r="F192"/>
  <c r="G192" s="1"/>
  <c r="H192" s="1"/>
  <c r="F191"/>
  <c r="G191" s="1"/>
  <c r="H191" s="1"/>
  <c r="F190"/>
  <c r="G190" s="1"/>
  <c r="H190" s="1"/>
  <c r="F189"/>
  <c r="G189" s="1"/>
  <c r="H189" s="1"/>
  <c r="F188"/>
  <c r="G188" s="1"/>
  <c r="H188" s="1"/>
  <c r="F187"/>
  <c r="G187" s="1"/>
  <c r="H187" s="1"/>
  <c r="F186"/>
  <c r="G186" s="1"/>
  <c r="H186" s="1"/>
  <c r="F185"/>
  <c r="G185" s="1"/>
  <c r="H185" s="1"/>
  <c r="F184"/>
  <c r="G184" s="1"/>
  <c r="H184" s="1"/>
  <c r="F183"/>
  <c r="G183" s="1"/>
  <c r="H183" s="1"/>
  <c r="F182"/>
  <c r="F203" s="1"/>
  <c r="F155"/>
  <c r="G155" s="1"/>
  <c r="H155" s="1"/>
  <c r="F154"/>
  <c r="G154" s="1"/>
  <c r="H154" s="1"/>
  <c r="F153"/>
  <c r="G153" s="1"/>
  <c r="H153" s="1"/>
  <c r="F152"/>
  <c r="G152" s="1"/>
  <c r="H152" s="1"/>
  <c r="F151"/>
  <c r="G151" s="1"/>
  <c r="H151" s="1"/>
  <c r="F148"/>
  <c r="F156" s="1"/>
  <c r="F141"/>
  <c r="G141" s="1"/>
  <c r="H141" s="1"/>
  <c r="F140"/>
  <c r="F142" s="1"/>
  <c r="H134"/>
  <c r="G134"/>
  <c r="F134"/>
  <c r="H107"/>
  <c r="G107"/>
  <c r="F106"/>
  <c r="F105"/>
  <c r="F104"/>
  <c r="F103"/>
  <c r="F102"/>
  <c r="F101"/>
  <c r="F107" s="1"/>
  <c r="G92"/>
  <c r="H92" s="1"/>
  <c r="I92" s="1"/>
  <c r="H91"/>
  <c r="I91" s="1"/>
  <c r="G90"/>
  <c r="G95" s="1"/>
  <c r="H58"/>
  <c r="G58"/>
  <c r="F57"/>
  <c r="F56"/>
  <c r="F55"/>
  <c r="F54"/>
  <c r="F53"/>
  <c r="F52"/>
  <c r="F58" s="1"/>
  <c r="C21"/>
  <c r="I20"/>
  <c r="D18"/>
  <c r="I18" s="1"/>
  <c r="J18" s="1"/>
  <c r="G90" i="17"/>
  <c r="H90"/>
  <c r="F90"/>
  <c r="F66"/>
  <c r="J19" i="18" l="1"/>
  <c r="K19" s="1"/>
  <c r="J20"/>
  <c r="K20" s="1"/>
  <c r="J21"/>
  <c r="G115"/>
  <c r="H120"/>
  <c r="I120" s="1"/>
  <c r="H119"/>
  <c r="H115"/>
  <c r="G117"/>
  <c r="I115"/>
  <c r="G123"/>
  <c r="I21"/>
  <c r="H90"/>
  <c r="G140"/>
  <c r="G148"/>
  <c r="G182"/>
  <c r="F59" i="17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F60" s="1"/>
  <c r="H34"/>
  <c r="G34"/>
  <c r="F34"/>
  <c r="E14"/>
  <c r="D15" i="16"/>
  <c r="D16"/>
  <c r="D17"/>
  <c r="E18"/>
  <c r="G26"/>
  <c r="G22"/>
  <c r="G18"/>
  <c r="P63" i="1"/>
  <c r="F22" i="16"/>
  <c r="F18"/>
  <c r="D39"/>
  <c r="D35"/>
  <c r="D26"/>
  <c r="D22"/>
  <c r="D18"/>
  <c r="E41" i="18" l="1"/>
  <c r="H122"/>
  <c r="I119"/>
  <c r="H117"/>
  <c r="I114"/>
  <c r="I117" s="1"/>
  <c r="I122"/>
  <c r="G203"/>
  <c r="H182"/>
  <c r="H203" s="1"/>
  <c r="G156"/>
  <c r="H148"/>
  <c r="H156" s="1"/>
  <c r="G142"/>
  <c r="H140"/>
  <c r="H142" s="1"/>
  <c r="H95"/>
  <c r="I90"/>
  <c r="I95" s="1"/>
  <c r="K18"/>
  <c r="K21" s="1"/>
  <c r="E43"/>
  <c r="F41"/>
  <c r="F39" s="1"/>
  <c r="G54" i="17"/>
  <c r="H39" i="16"/>
  <c r="H35"/>
  <c r="E35"/>
  <c r="F35" s="1"/>
  <c r="E34"/>
  <c r="F34" s="1"/>
  <c r="G34" s="1"/>
  <c r="H34" s="1"/>
  <c r="E33"/>
  <c r="F33" s="1"/>
  <c r="G33" s="1"/>
  <c r="H33" s="1"/>
  <c r="E32"/>
  <c r="F32" s="1"/>
  <c r="G32" s="1"/>
  <c r="H32" s="1"/>
  <c r="F27"/>
  <c r="G27" s="1"/>
  <c r="H27" s="1"/>
  <c r="H26"/>
  <c r="E26"/>
  <c r="E39" s="1"/>
  <c r="F39" s="1"/>
  <c r="H25"/>
  <c r="E25"/>
  <c r="E38" s="1"/>
  <c r="F38" s="1"/>
  <c r="G38" s="1"/>
  <c r="H38" s="1"/>
  <c r="H24"/>
  <c r="E24"/>
  <c r="E37" s="1"/>
  <c r="F37" s="1"/>
  <c r="G37" s="1"/>
  <c r="H37" s="1"/>
  <c r="E23"/>
  <c r="E36" s="1"/>
  <c r="F36" s="1"/>
  <c r="G36" s="1"/>
  <c r="H36" s="1"/>
  <c r="H22"/>
  <c r="F21"/>
  <c r="F20"/>
  <c r="G20" s="1"/>
  <c r="H20" s="1"/>
  <c r="F19"/>
  <c r="H18"/>
  <c r="E31"/>
  <c r="F31" s="1"/>
  <c r="E30"/>
  <c r="F30" s="1"/>
  <c r="G30" s="1"/>
  <c r="E29"/>
  <c r="F29" s="1"/>
  <c r="G29" s="1"/>
  <c r="H29" s="1"/>
  <c r="E28"/>
  <c r="F28" s="1"/>
  <c r="G28" s="1"/>
  <c r="H28" s="1"/>
  <c r="F14"/>
  <c r="H32" i="15"/>
  <c r="H68"/>
  <c r="H77"/>
  <c r="H78"/>
  <c r="G77"/>
  <c r="G78" s="1"/>
  <c r="G68"/>
  <c r="G32"/>
  <c r="E75"/>
  <c r="E66"/>
  <c r="E17"/>
  <c r="F75"/>
  <c r="F77" s="1"/>
  <c r="F78" s="1"/>
  <c r="F68"/>
  <c r="F59"/>
  <c r="F58"/>
  <c r="H57"/>
  <c r="F57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F42"/>
  <c r="G42" s="1"/>
  <c r="H42" s="1"/>
  <c r="F41"/>
  <c r="F60" s="1"/>
  <c r="F17"/>
  <c r="F32" s="1"/>
  <c r="H219" i="14"/>
  <c r="I123" i="18" l="1"/>
  <c r="H123"/>
  <c r="E44"/>
  <c r="F43"/>
  <c r="H45"/>
  <c r="H44"/>
  <c r="H43"/>
  <c r="H42" s="1"/>
  <c r="H41"/>
  <c r="H39" s="1"/>
  <c r="H46" s="1"/>
  <c r="H205" s="1"/>
  <c r="G45"/>
  <c r="G44"/>
  <c r="G43"/>
  <c r="G42" s="1"/>
  <c r="G41"/>
  <c r="G39" s="1"/>
  <c r="G46" s="1"/>
  <c r="G205" s="1"/>
  <c r="G60" i="17"/>
  <c r="H54"/>
  <c r="H60" s="1"/>
  <c r="G19" i="16"/>
  <c r="H19" s="1"/>
  <c r="H30"/>
  <c r="G14"/>
  <c r="F15"/>
  <c r="F16"/>
  <c r="F17"/>
  <c r="F23"/>
  <c r="G23" s="1"/>
  <c r="H23" s="1"/>
  <c r="F24"/>
  <c r="F25"/>
  <c r="F26"/>
  <c r="G41" i="15"/>
  <c r="E45" i="18" l="1"/>
  <c r="F45" s="1"/>
  <c r="F44"/>
  <c r="F42"/>
  <c r="F46" s="1"/>
  <c r="F205" s="1"/>
  <c r="F41" i="16"/>
  <c r="G41"/>
  <c r="G44" s="1"/>
  <c r="H41"/>
  <c r="H44" s="1"/>
  <c r="H14"/>
  <c r="F44"/>
  <c r="G60" i="15"/>
  <c r="H41"/>
  <c r="H60" s="1"/>
  <c r="G217" i="14" l="1"/>
  <c r="H217"/>
  <c r="G180"/>
  <c r="H180"/>
  <c r="F215"/>
  <c r="E215"/>
  <c r="E178"/>
  <c r="G219" l="1"/>
  <c r="F217" l="1"/>
  <c r="F207"/>
  <c r="F206"/>
  <c r="H205"/>
  <c r="F205"/>
  <c r="F204"/>
  <c r="G204" s="1"/>
  <c r="H204" s="1"/>
  <c r="F203"/>
  <c r="G203" s="1"/>
  <c r="H203" s="1"/>
  <c r="F202"/>
  <c r="G202" s="1"/>
  <c r="H202" s="1"/>
  <c r="F201"/>
  <c r="G201" s="1"/>
  <c r="H201" s="1"/>
  <c r="F200"/>
  <c r="G200" s="1"/>
  <c r="H200" s="1"/>
  <c r="F199"/>
  <c r="G199" s="1"/>
  <c r="H199" s="1"/>
  <c r="F198"/>
  <c r="G198" s="1"/>
  <c r="H198" s="1"/>
  <c r="F197"/>
  <c r="G197" s="1"/>
  <c r="H197" s="1"/>
  <c r="F196"/>
  <c r="G196" s="1"/>
  <c r="H196" s="1"/>
  <c r="F195"/>
  <c r="G195" s="1"/>
  <c r="H195" s="1"/>
  <c r="F194"/>
  <c r="G194" s="1"/>
  <c r="H194" s="1"/>
  <c r="F193"/>
  <c r="G193" s="1"/>
  <c r="H193" s="1"/>
  <c r="F192"/>
  <c r="G192" s="1"/>
  <c r="H192" s="1"/>
  <c r="F191"/>
  <c r="G191" s="1"/>
  <c r="H191" s="1"/>
  <c r="F190"/>
  <c r="G190" s="1"/>
  <c r="H190" s="1"/>
  <c r="F189"/>
  <c r="F208" s="1"/>
  <c r="F180"/>
  <c r="F219" s="1"/>
  <c r="H170"/>
  <c r="G170"/>
  <c r="F170"/>
  <c r="H144"/>
  <c r="G144"/>
  <c r="F144"/>
  <c r="I132"/>
  <c r="H132"/>
  <c r="G132"/>
  <c r="H118"/>
  <c r="G118"/>
  <c r="F117"/>
  <c r="F116"/>
  <c r="F115"/>
  <c r="F114"/>
  <c r="F113"/>
  <c r="F112"/>
  <c r="F118" s="1"/>
  <c r="I106"/>
  <c r="H106"/>
  <c r="G106"/>
  <c r="F78"/>
  <c r="F83" s="1"/>
  <c r="H71"/>
  <c r="G71"/>
  <c r="F70"/>
  <c r="F69"/>
  <c r="F68"/>
  <c r="F67"/>
  <c r="F65"/>
  <c r="F71" s="1"/>
  <c r="E54"/>
  <c r="E56" s="1"/>
  <c r="K34"/>
  <c r="H58" s="1"/>
  <c r="J34"/>
  <c r="G58" s="1"/>
  <c r="I34"/>
  <c r="G183" i="13"/>
  <c r="G182"/>
  <c r="G179"/>
  <c r="G178"/>
  <c r="E203"/>
  <c r="E180"/>
  <c r="E183"/>
  <c r="E182"/>
  <c r="E179"/>
  <c r="E178"/>
  <c r="F183"/>
  <c r="F182"/>
  <c r="F179"/>
  <c r="F178"/>
  <c r="F184"/>
  <c r="E184"/>
  <c r="E206" s="1"/>
  <c r="G184"/>
  <c r="F180"/>
  <c r="G180"/>
  <c r="G170"/>
  <c r="F170"/>
  <c r="E170"/>
  <c r="G144"/>
  <c r="F144"/>
  <c r="E144"/>
  <c r="H132"/>
  <c r="G132"/>
  <c r="F132"/>
  <c r="G118"/>
  <c r="F118"/>
  <c r="E117"/>
  <c r="E116"/>
  <c r="E115"/>
  <c r="E114"/>
  <c r="E113"/>
  <c r="E112"/>
  <c r="E118" s="1"/>
  <c r="H106"/>
  <c r="G106"/>
  <c r="F106"/>
  <c r="E78"/>
  <c r="E83" s="1"/>
  <c r="G71"/>
  <c r="F71"/>
  <c r="E70"/>
  <c r="E69"/>
  <c r="E68"/>
  <c r="E67"/>
  <c r="E65"/>
  <c r="E71" s="1"/>
  <c r="D54"/>
  <c r="D56" s="1"/>
  <c r="J34"/>
  <c r="G58" s="1"/>
  <c r="I34"/>
  <c r="F58" s="1"/>
  <c r="H34"/>
  <c r="E57" i="14" l="1"/>
  <c r="F56"/>
  <c r="F54"/>
  <c r="F52" s="1"/>
  <c r="G54"/>
  <c r="G52" s="1"/>
  <c r="H54"/>
  <c r="H52" s="1"/>
  <c r="G56"/>
  <c r="H56"/>
  <c r="G57"/>
  <c r="H57"/>
  <c r="G78"/>
  <c r="G189"/>
  <c r="F203" i="13"/>
  <c r="F206" s="1"/>
  <c r="D57"/>
  <c r="E56"/>
  <c r="G203"/>
  <c r="G206" s="1"/>
  <c r="E54"/>
  <c r="E52" s="1"/>
  <c r="F54"/>
  <c r="F52" s="1"/>
  <c r="G54"/>
  <c r="G52" s="1"/>
  <c r="F56"/>
  <c r="G56"/>
  <c r="F57"/>
  <c r="G57"/>
  <c r="F78"/>
  <c r="G208" i="14" l="1"/>
  <c r="H189"/>
  <c r="H208" s="1"/>
  <c r="G83"/>
  <c r="H78"/>
  <c r="H83" s="1"/>
  <c r="E58"/>
  <c r="F58" s="1"/>
  <c r="F57"/>
  <c r="H55"/>
  <c r="G55"/>
  <c r="H59"/>
  <c r="G59"/>
  <c r="F55"/>
  <c r="F59" s="1"/>
  <c r="F83" i="13"/>
  <c r="G78"/>
  <c r="G83" s="1"/>
  <c r="D58"/>
  <c r="E58" s="1"/>
  <c r="E57"/>
  <c r="G55"/>
  <c r="F55"/>
  <c r="G59"/>
  <c r="F59"/>
  <c r="E55"/>
  <c r="E59" s="1"/>
  <c r="K20" i="12" l="1"/>
  <c r="J20"/>
  <c r="I20"/>
  <c r="F192"/>
  <c r="G192" s="1"/>
  <c r="H192" s="1"/>
  <c r="F191"/>
  <c r="G191" s="1"/>
  <c r="H191" s="1"/>
  <c r="F190"/>
  <c r="G190" s="1"/>
  <c r="H190" s="1"/>
  <c r="F189"/>
  <c r="G189" s="1"/>
  <c r="H189" s="1"/>
  <c r="F188"/>
  <c r="G188" s="1"/>
  <c r="H188" s="1"/>
  <c r="F187"/>
  <c r="F193" s="1"/>
  <c r="H141"/>
  <c r="G141"/>
  <c r="F141"/>
  <c r="H115"/>
  <c r="G115"/>
  <c r="F114"/>
  <c r="F113"/>
  <c r="F112"/>
  <c r="F111"/>
  <c r="F110"/>
  <c r="F109"/>
  <c r="F115" s="1"/>
  <c r="I103"/>
  <c r="H103"/>
  <c r="G103"/>
  <c r="F73"/>
  <c r="F78" s="1"/>
  <c r="H66"/>
  <c r="G66"/>
  <c r="F65"/>
  <c r="F64"/>
  <c r="F63"/>
  <c r="F62"/>
  <c r="F61"/>
  <c r="F60"/>
  <c r="F66" s="1"/>
  <c r="J29"/>
  <c r="G53" s="1"/>
  <c r="D20"/>
  <c r="D19"/>
  <c r="I19" s="1"/>
  <c r="K18"/>
  <c r="K29" s="1"/>
  <c r="D18"/>
  <c r="I18" s="1"/>
  <c r="I29" s="1"/>
  <c r="F219" i="11"/>
  <c r="H192"/>
  <c r="H191"/>
  <c r="G192"/>
  <c r="G191"/>
  <c r="E191"/>
  <c r="H118"/>
  <c r="D81"/>
  <c r="C36"/>
  <c r="D35"/>
  <c r="I35" s="1"/>
  <c r="D34"/>
  <c r="I34" s="1"/>
  <c r="D33"/>
  <c r="D30"/>
  <c r="I30" s="1"/>
  <c r="J20" s="1"/>
  <c r="J30" s="1"/>
  <c r="K20" s="1"/>
  <c r="K30" s="1"/>
  <c r="F29"/>
  <c r="D29"/>
  <c r="I29" s="1"/>
  <c r="J19" s="1"/>
  <c r="J29" s="1"/>
  <c r="K19" s="1"/>
  <c r="K29" s="1"/>
  <c r="D28"/>
  <c r="I28" s="1"/>
  <c r="J18" s="1"/>
  <c r="J28" s="1"/>
  <c r="K18" s="1"/>
  <c r="K28" s="1"/>
  <c r="F19"/>
  <c r="H53" i="12" l="1"/>
  <c r="H52"/>
  <c r="H51"/>
  <c r="H50" s="1"/>
  <c r="H49"/>
  <c r="H47" s="1"/>
  <c r="H54" s="1"/>
  <c r="E49"/>
  <c r="G49"/>
  <c r="G47" s="1"/>
  <c r="G51"/>
  <c r="G52"/>
  <c r="G73"/>
  <c r="G187"/>
  <c r="I33" i="11"/>
  <c r="I36" s="1"/>
  <c r="G193" i="12" l="1"/>
  <c r="H187"/>
  <c r="H193" s="1"/>
  <c r="G78"/>
  <c r="H73"/>
  <c r="H78" s="1"/>
  <c r="E51"/>
  <c r="F49"/>
  <c r="F47" s="1"/>
  <c r="G50"/>
  <c r="G54"/>
  <c r="E52" l="1"/>
  <c r="F51"/>
  <c r="H223"/>
  <c r="G223"/>
  <c r="E53" l="1"/>
  <c r="F53" s="1"/>
  <c r="F52"/>
  <c r="F50"/>
  <c r="F54" s="1"/>
  <c r="F223" s="1"/>
  <c r="F238" i="11" l="1"/>
  <c r="F237"/>
  <c r="H236"/>
  <c r="F236"/>
  <c r="F235"/>
  <c r="G235" s="1"/>
  <c r="H235" s="1"/>
  <c r="F234"/>
  <c r="G234" s="1"/>
  <c r="H234" s="1"/>
  <c r="F233"/>
  <c r="G233" s="1"/>
  <c r="H233" s="1"/>
  <c r="F232"/>
  <c r="G232" s="1"/>
  <c r="H232" s="1"/>
  <c r="F231"/>
  <c r="G231" s="1"/>
  <c r="H231" s="1"/>
  <c r="F230"/>
  <c r="G230" s="1"/>
  <c r="H230" s="1"/>
  <c r="F229"/>
  <c r="G229" s="1"/>
  <c r="H229" s="1"/>
  <c r="F228"/>
  <c r="G228" s="1"/>
  <c r="H228" s="1"/>
  <c r="F227"/>
  <c r="G227" s="1"/>
  <c r="H227" s="1"/>
  <c r="F226"/>
  <c r="G226" s="1"/>
  <c r="H226" s="1"/>
  <c r="F225"/>
  <c r="G225" s="1"/>
  <c r="H225" s="1"/>
  <c r="F224"/>
  <c r="G224" s="1"/>
  <c r="H224" s="1"/>
  <c r="F223"/>
  <c r="G223" s="1"/>
  <c r="H223" s="1"/>
  <c r="F222"/>
  <c r="G222" s="1"/>
  <c r="H222" s="1"/>
  <c r="F221"/>
  <c r="G221" s="1"/>
  <c r="H221" s="1"/>
  <c r="F220"/>
  <c r="G220" s="1"/>
  <c r="F217"/>
  <c r="F239" s="1"/>
  <c r="F210"/>
  <c r="G210" s="1"/>
  <c r="H210" s="1"/>
  <c r="F209"/>
  <c r="G209" s="1"/>
  <c r="H209" s="1"/>
  <c r="F208"/>
  <c r="G208" s="1"/>
  <c r="H208" s="1"/>
  <c r="F207"/>
  <c r="G207" s="1"/>
  <c r="H207" s="1"/>
  <c r="F206"/>
  <c r="G206" s="1"/>
  <c r="H206" s="1"/>
  <c r="F205"/>
  <c r="F211" s="1"/>
  <c r="H185"/>
  <c r="G185"/>
  <c r="F185"/>
  <c r="H159"/>
  <c r="G159"/>
  <c r="F159"/>
  <c r="I147"/>
  <c r="H147"/>
  <c r="G147"/>
  <c r="H133"/>
  <c r="G133"/>
  <c r="F132"/>
  <c r="F131"/>
  <c r="F130"/>
  <c r="F129"/>
  <c r="F128"/>
  <c r="F127"/>
  <c r="F133" s="1"/>
  <c r="H121"/>
  <c r="I118"/>
  <c r="I121" s="1"/>
  <c r="G118"/>
  <c r="G121" s="1"/>
  <c r="F93"/>
  <c r="F98" s="1"/>
  <c r="H86"/>
  <c r="G86"/>
  <c r="F85"/>
  <c r="F84"/>
  <c r="F83"/>
  <c r="F82"/>
  <c r="F80"/>
  <c r="F86" s="1"/>
  <c r="C31"/>
  <c r="I31"/>
  <c r="J21"/>
  <c r="C21"/>
  <c r="D20"/>
  <c r="D19"/>
  <c r="D18"/>
  <c r="F192" i="10"/>
  <c r="G192" s="1"/>
  <c r="H192" s="1"/>
  <c r="F191"/>
  <c r="G191" s="1"/>
  <c r="H191" s="1"/>
  <c r="F190"/>
  <c r="G190" s="1"/>
  <c r="H190" s="1"/>
  <c r="F189"/>
  <c r="G189" s="1"/>
  <c r="H189" s="1"/>
  <c r="F188"/>
  <c r="G188" s="1"/>
  <c r="H188" s="1"/>
  <c r="F187"/>
  <c r="F193" s="1"/>
  <c r="H141"/>
  <c r="G141"/>
  <c r="F141"/>
  <c r="H115"/>
  <c r="G115"/>
  <c r="F114"/>
  <c r="F113"/>
  <c r="F112"/>
  <c r="F111"/>
  <c r="F110"/>
  <c r="F109"/>
  <c r="F115" s="1"/>
  <c r="I103"/>
  <c r="H103"/>
  <c r="G103"/>
  <c r="F73"/>
  <c r="F78" s="1"/>
  <c r="H66"/>
  <c r="G66"/>
  <c r="F65"/>
  <c r="F64"/>
  <c r="F63"/>
  <c r="F62"/>
  <c r="F61"/>
  <c r="F60"/>
  <c r="F66" s="1"/>
  <c r="D20"/>
  <c r="I20" s="1"/>
  <c r="D19"/>
  <c r="I19" s="1"/>
  <c r="K18"/>
  <c r="D18"/>
  <c r="I18" s="1"/>
  <c r="I29" s="1"/>
  <c r="F184" i="9"/>
  <c r="G184" s="1"/>
  <c r="H184" s="1"/>
  <c r="F183"/>
  <c r="G183" s="1"/>
  <c r="H183" s="1"/>
  <c r="F182"/>
  <c r="G182" s="1"/>
  <c r="H182" s="1"/>
  <c r="F181"/>
  <c r="G181" s="1"/>
  <c r="H181" s="1"/>
  <c r="F180"/>
  <c r="G180" s="1"/>
  <c r="H180" s="1"/>
  <c r="F179"/>
  <c r="F185" s="1"/>
  <c r="H133"/>
  <c r="G133"/>
  <c r="F133"/>
  <c r="H107"/>
  <c r="G107"/>
  <c r="F106"/>
  <c r="F105"/>
  <c r="F104"/>
  <c r="F103"/>
  <c r="F102"/>
  <c r="F101"/>
  <c r="F107" s="1"/>
  <c r="I95"/>
  <c r="H95"/>
  <c r="G95"/>
  <c r="F65"/>
  <c r="F70" s="1"/>
  <c r="H58"/>
  <c r="G58"/>
  <c r="F57"/>
  <c r="F56"/>
  <c r="F55"/>
  <c r="F54"/>
  <c r="F53"/>
  <c r="F52"/>
  <c r="F58" s="1"/>
  <c r="D20"/>
  <c r="I20" s="1"/>
  <c r="E41" s="1"/>
  <c r="D19"/>
  <c r="I19" s="1"/>
  <c r="D18"/>
  <c r="I18" s="1"/>
  <c r="I21" s="1"/>
  <c r="I21" i="11" l="1"/>
  <c r="G239"/>
  <c r="H220"/>
  <c r="H239" s="1"/>
  <c r="J31"/>
  <c r="J49" s="1"/>
  <c r="G69" s="1"/>
  <c r="G93"/>
  <c r="G205"/>
  <c r="E49" i="10"/>
  <c r="K20"/>
  <c r="J20"/>
  <c r="J29" s="1"/>
  <c r="K29"/>
  <c r="G73"/>
  <c r="G187"/>
  <c r="K20" i="9"/>
  <c r="J20"/>
  <c r="J21" s="1"/>
  <c r="K21"/>
  <c r="H41" s="1"/>
  <c r="H39" s="1"/>
  <c r="G65"/>
  <c r="G179"/>
  <c r="G73" i="11" l="1"/>
  <c r="G72"/>
  <c r="G71"/>
  <c r="G70" s="1"/>
  <c r="G67"/>
  <c r="G74" s="1"/>
  <c r="E71"/>
  <c r="F69"/>
  <c r="F67" s="1"/>
  <c r="G211"/>
  <c r="H205"/>
  <c r="H211" s="1"/>
  <c r="G98"/>
  <c r="H93"/>
  <c r="H98" s="1"/>
  <c r="K21"/>
  <c r="G241"/>
  <c r="G193" i="10"/>
  <c r="H187"/>
  <c r="H193" s="1"/>
  <c r="G78"/>
  <c r="H73"/>
  <c r="H78" s="1"/>
  <c r="H53"/>
  <c r="H52"/>
  <c r="H51"/>
  <c r="H50" s="1"/>
  <c r="H49"/>
  <c r="H47" s="1"/>
  <c r="H54" s="1"/>
  <c r="G53"/>
  <c r="G52"/>
  <c r="G51"/>
  <c r="G50" s="1"/>
  <c r="G49"/>
  <c r="G47" s="1"/>
  <c r="G54" s="1"/>
  <c r="E51"/>
  <c r="F49"/>
  <c r="F47" s="1"/>
  <c r="G185" i="9"/>
  <c r="H179"/>
  <c r="H185" s="1"/>
  <c r="G70"/>
  <c r="H65"/>
  <c r="H70" s="1"/>
  <c r="H45"/>
  <c r="H44"/>
  <c r="H43"/>
  <c r="H42" s="1"/>
  <c r="H46"/>
  <c r="G45"/>
  <c r="G44"/>
  <c r="G43"/>
  <c r="G42" s="1"/>
  <c r="G41"/>
  <c r="G39" s="1"/>
  <c r="G46" s="1"/>
  <c r="E43"/>
  <c r="F41"/>
  <c r="F39" s="1"/>
  <c r="F200" i="3"/>
  <c r="G200" s="1"/>
  <c r="H200" s="1"/>
  <c r="F199"/>
  <c r="G199" s="1"/>
  <c r="H199" s="1"/>
  <c r="F198"/>
  <c r="G198" s="1"/>
  <c r="H198" s="1"/>
  <c r="E181"/>
  <c r="F176"/>
  <c r="G176" s="1"/>
  <c r="H176" s="1"/>
  <c r="F175"/>
  <c r="G175" s="1"/>
  <c r="H175" s="1"/>
  <c r="F174"/>
  <c r="F173"/>
  <c r="F158"/>
  <c r="G158" s="1"/>
  <c r="H158" s="1"/>
  <c r="F157"/>
  <c r="G157" s="1"/>
  <c r="H157" s="1"/>
  <c r="F156"/>
  <c r="G156" s="1"/>
  <c r="H156" s="1"/>
  <c r="F155"/>
  <c r="G155" s="1"/>
  <c r="H155" s="1"/>
  <c r="F154"/>
  <c r="G154" s="1"/>
  <c r="H154" s="1"/>
  <c r="F153"/>
  <c r="F152"/>
  <c r="G152" s="1"/>
  <c r="H152" s="1"/>
  <c r="G151"/>
  <c r="H151" s="1"/>
  <c r="F150"/>
  <c r="G150" s="1"/>
  <c r="H150" s="1"/>
  <c r="F149"/>
  <c r="G149" s="1"/>
  <c r="H149" s="1"/>
  <c r="H129"/>
  <c r="I129" s="1"/>
  <c r="D128"/>
  <c r="D127"/>
  <c r="G127" s="1"/>
  <c r="G123"/>
  <c r="H123" s="1"/>
  <c r="G125"/>
  <c r="H125" s="1"/>
  <c r="I125" s="1"/>
  <c r="K31" i="11" l="1"/>
  <c r="E72"/>
  <c r="F71"/>
  <c r="E52" i="10"/>
  <c r="F51"/>
  <c r="H223"/>
  <c r="G223"/>
  <c r="E44" i="9"/>
  <c r="F43"/>
  <c r="H215"/>
  <c r="G215"/>
  <c r="I123" i="3"/>
  <c r="H127"/>
  <c r="F124"/>
  <c r="G124" s="1"/>
  <c r="E73" i="11" l="1"/>
  <c r="F73" s="1"/>
  <c r="F72"/>
  <c r="K49"/>
  <c r="H69" s="1"/>
  <c r="F70"/>
  <c r="F74" s="1"/>
  <c r="F241" s="1"/>
  <c r="E53" i="10"/>
  <c r="F53" s="1"/>
  <c r="F52"/>
  <c r="F50"/>
  <c r="F54" s="1"/>
  <c r="F223" s="1"/>
  <c r="E45" i="9"/>
  <c r="F45" s="1"/>
  <c r="F44"/>
  <c r="F42"/>
  <c r="F46" s="1"/>
  <c r="F215" s="1"/>
  <c r="H124" i="3"/>
  <c r="H126" s="1"/>
  <c r="G126"/>
  <c r="I127"/>
  <c r="H73" i="11" l="1"/>
  <c r="H72"/>
  <c r="H71"/>
  <c r="H70" s="1"/>
  <c r="H67"/>
  <c r="H74" s="1"/>
  <c r="H241"/>
  <c r="I124" i="3"/>
  <c r="I126" s="1"/>
  <c r="F73" l="1"/>
  <c r="F22" l="1"/>
  <c r="D22" s="1"/>
  <c r="I22" s="1"/>
  <c r="D21"/>
  <c r="D20"/>
  <c r="I20" s="1"/>
  <c r="J20" s="1"/>
  <c r="K20" s="1"/>
  <c r="C8"/>
  <c r="Q13" i="6"/>
  <c r="P13"/>
  <c r="H9"/>
  <c r="H12"/>
  <c r="H11"/>
  <c r="H10"/>
  <c r="B13"/>
  <c r="B12"/>
  <c r="B9"/>
  <c r="E50" i="3" l="1"/>
  <c r="J22"/>
  <c r="K22" s="1"/>
  <c r="L216" i="1" l="1"/>
  <c r="P77"/>
  <c r="L57"/>
  <c r="K52"/>
  <c r="K47"/>
  <c r="K271"/>
  <c r="K253"/>
  <c r="K230"/>
  <c r="K209"/>
  <c r="R78"/>
  <c r="K96"/>
  <c r="L58"/>
  <c r="M58"/>
  <c r="K58"/>
  <c r="M216"/>
  <c r="M215"/>
  <c r="L215"/>
  <c r="K215"/>
  <c r="Q68"/>
  <c r="R68"/>
  <c r="P68"/>
  <c r="P64"/>
  <c r="Q61"/>
  <c r="Q77" s="1"/>
  <c r="Q78" s="1"/>
  <c r="R61"/>
  <c r="P61"/>
  <c r="L120"/>
  <c r="M120"/>
  <c r="K120"/>
  <c r="M210"/>
  <c r="L210"/>
  <c r="K210"/>
  <c r="R56"/>
  <c r="Q56"/>
  <c r="P56"/>
  <c r="R57"/>
  <c r="Q57"/>
  <c r="P57"/>
  <c r="M52" l="1"/>
  <c r="L52"/>
  <c r="P43"/>
  <c r="D14" i="8" l="1"/>
  <c r="D13"/>
  <c r="L135" i="1"/>
  <c r="M135"/>
  <c r="K135"/>
  <c r="L93" i="8"/>
  <c r="M93"/>
  <c r="K93"/>
  <c r="D20" i="1" l="1"/>
  <c r="P74"/>
  <c r="Q76"/>
  <c r="R76"/>
  <c r="P76"/>
  <c r="D18" i="8" l="1"/>
  <c r="K19" i="6" l="1"/>
  <c r="J19"/>
  <c r="I19"/>
  <c r="G19"/>
  <c r="F19"/>
  <c r="E19"/>
  <c r="C19"/>
  <c r="B19"/>
  <c r="P18"/>
  <c r="P17"/>
  <c r="P16"/>
  <c r="P14"/>
  <c r="Q12"/>
  <c r="Q11"/>
  <c r="Q10"/>
  <c r="G21" i="4"/>
  <c r="G20" i="5" s="1"/>
  <c r="G29" i="6" s="1"/>
  <c r="E21" i="4"/>
  <c r="E20" i="5" s="1"/>
  <c r="E29" i="6" s="1"/>
  <c r="C21" i="4"/>
  <c r="C20" i="5" s="1"/>
  <c r="C29" i="6" s="1"/>
  <c r="C18" i="4"/>
  <c r="AQ45" i="7"/>
  <c r="C17" i="5" s="1"/>
  <c r="C26" i="6" s="1"/>
  <c r="DG15" i="7"/>
  <c r="K26" i="8"/>
  <c r="Q67" i="1"/>
  <c r="R67"/>
  <c r="P67"/>
  <c r="Q60"/>
  <c r="R60"/>
  <c r="P60"/>
  <c r="L227"/>
  <c r="L103" i="8" s="1"/>
  <c r="M227" i="1"/>
  <c r="M103" i="8" s="1"/>
  <c r="K227" i="1"/>
  <c r="K103" i="8" s="1"/>
  <c r="Q58" i="1"/>
  <c r="R58"/>
  <c r="Q59"/>
  <c r="R59"/>
  <c r="Q62"/>
  <c r="R62"/>
  <c r="Q64"/>
  <c r="R64"/>
  <c r="Q65"/>
  <c r="R65"/>
  <c r="Q66"/>
  <c r="R66"/>
  <c r="Q74"/>
  <c r="R74"/>
  <c r="Q75"/>
  <c r="R75"/>
  <c r="Q63"/>
  <c r="D15" i="8"/>
  <c r="K9"/>
  <c r="A27" i="4" s="1"/>
  <c r="A25" i="5" s="1"/>
  <c r="A35" i="6" s="1"/>
  <c r="K7" i="8"/>
  <c r="BY45" i="7" s="1"/>
  <c r="K5" i="8"/>
  <c r="N13"/>
  <c r="N18"/>
  <c r="N17"/>
  <c r="O11" i="6" l="1"/>
  <c r="R63" i="1"/>
  <c r="G18" i="4"/>
  <c r="G17" i="5" s="1"/>
  <c r="G26" i="6" s="1"/>
  <c r="D19"/>
  <c r="O10"/>
  <c r="O12"/>
  <c r="H19"/>
  <c r="P10"/>
  <c r="P11"/>
  <c r="P12"/>
  <c r="O13"/>
  <c r="O14"/>
  <c r="O16"/>
  <c r="O17"/>
  <c r="O18"/>
  <c r="Q14"/>
  <c r="Q16"/>
  <c r="Q17"/>
  <c r="Q18"/>
  <c r="L112" i="8"/>
  <c r="M112"/>
  <c r="K112"/>
  <c r="P62" i="1"/>
  <c r="K49" i="8"/>
  <c r="L49"/>
  <c r="M49"/>
  <c r="K50"/>
  <c r="L50"/>
  <c r="M50"/>
  <c r="L48"/>
  <c r="M48"/>
  <c r="K48"/>
  <c r="L46"/>
  <c r="M46"/>
  <c r="K46"/>
  <c r="L42"/>
  <c r="M42"/>
  <c r="K42"/>
  <c r="L39"/>
  <c r="M39"/>
  <c r="K39"/>
  <c r="L36"/>
  <c r="M36"/>
  <c r="K36"/>
  <c r="L33"/>
  <c r="M33"/>
  <c r="K33"/>
  <c r="P19" i="6" l="1"/>
  <c r="Q19"/>
  <c r="N97" i="8"/>
  <c r="M110"/>
  <c r="L110"/>
  <c r="K110"/>
  <c r="M95"/>
  <c r="L95"/>
  <c r="K95"/>
  <c r="M91"/>
  <c r="L91"/>
  <c r="K91"/>
  <c r="M88"/>
  <c r="L88"/>
  <c r="K88"/>
  <c r="M83"/>
  <c r="L83"/>
  <c r="K83"/>
  <c r="M81"/>
  <c r="L81"/>
  <c r="K81"/>
  <c r="M74"/>
  <c r="L74"/>
  <c r="K74"/>
  <c r="M51"/>
  <c r="L51"/>
  <c r="K51"/>
  <c r="M45"/>
  <c r="L45"/>
  <c r="K45"/>
  <c r="M41"/>
  <c r="L41"/>
  <c r="K41"/>
  <c r="M38"/>
  <c r="L38"/>
  <c r="K38"/>
  <c r="M35"/>
  <c r="L35"/>
  <c r="K35"/>
  <c r="M32"/>
  <c r="L32"/>
  <c r="K32"/>
  <c r="M29"/>
  <c r="L29"/>
  <c r="K29"/>
  <c r="K107"/>
  <c r="K173" i="1"/>
  <c r="K191"/>
  <c r="K101" i="8" s="1"/>
  <c r="K151" i="1"/>
  <c r="K98" i="8" s="1"/>
  <c r="P75" i="1"/>
  <c r="P66"/>
  <c r="P65"/>
  <c r="P59"/>
  <c r="P58"/>
  <c r="M289"/>
  <c r="M108" i="8" s="1"/>
  <c r="L289" i="1"/>
  <c r="L108" i="8" s="1"/>
  <c r="K289" i="1"/>
  <c r="K108" i="8" s="1"/>
  <c r="M271" i="1"/>
  <c r="M107" i="8" s="1"/>
  <c r="L271" i="1"/>
  <c r="L107" i="8" s="1"/>
  <c r="L169" i="1"/>
  <c r="L99" i="8" s="1"/>
  <c r="M169" i="1"/>
  <c r="M99" i="8" s="1"/>
  <c r="K169" i="1"/>
  <c r="K99" i="8" s="1"/>
  <c r="M151" i="1"/>
  <c r="M98" i="8" s="1"/>
  <c r="L151" i="1"/>
  <c r="L98" i="8" s="1"/>
  <c r="M173" i="1"/>
  <c r="L173"/>
  <c r="M191"/>
  <c r="M101" i="8" s="1"/>
  <c r="L191" i="1"/>
  <c r="L101" i="8" s="1"/>
  <c r="M209" i="1"/>
  <c r="M102" i="8" s="1"/>
  <c r="L209" i="1"/>
  <c r="L102" i="8" s="1"/>
  <c r="M230" i="1"/>
  <c r="M104" i="8" s="1"/>
  <c r="L230" i="1"/>
  <c r="L104" i="8" s="1"/>
  <c r="K104"/>
  <c r="L249" i="1"/>
  <c r="L105" i="8" s="1"/>
  <c r="M249" i="1"/>
  <c r="M105" i="8" s="1"/>
  <c r="K249" i="1"/>
  <c r="K105" i="8" s="1"/>
  <c r="L253" i="1"/>
  <c r="L106" i="8" s="1"/>
  <c r="M253" i="1"/>
  <c r="M106" i="8" s="1"/>
  <c r="K106"/>
  <c r="M56"/>
  <c r="L80"/>
  <c r="L79" s="1"/>
  <c r="M80"/>
  <c r="M79" s="1"/>
  <c r="K119" i="1"/>
  <c r="M96"/>
  <c r="M65" i="8" s="1"/>
  <c r="M64" s="1"/>
  <c r="L96" i="1"/>
  <c r="L95" s="1"/>
  <c r="K95"/>
  <c r="L75"/>
  <c r="L57" i="8" s="1"/>
  <c r="M75" i="1"/>
  <c r="M57" i="8" s="1"/>
  <c r="K75" i="1"/>
  <c r="K57" i="8" s="1"/>
  <c r="K57" i="1" l="1"/>
  <c r="L56" i="8"/>
  <c r="K102"/>
  <c r="K97" s="1"/>
  <c r="K90" s="1"/>
  <c r="K150" i="1"/>
  <c r="K80" i="8"/>
  <c r="K79" s="1"/>
  <c r="K78" s="1"/>
  <c r="K65"/>
  <c r="K64" s="1"/>
  <c r="K63" s="1"/>
  <c r="L65"/>
  <c r="L64" s="1"/>
  <c r="L63" s="1"/>
  <c r="M150" i="1"/>
  <c r="L150"/>
  <c r="L119"/>
  <c r="M119"/>
  <c r="M95"/>
  <c r="L55" i="8"/>
  <c r="K56"/>
  <c r="K55" s="1"/>
  <c r="L97"/>
  <c r="L90" s="1"/>
  <c r="M97"/>
  <c r="M90" s="1"/>
  <c r="L78"/>
  <c r="M63"/>
  <c r="M78"/>
  <c r="M55"/>
  <c r="L28"/>
  <c r="K28"/>
  <c r="M28"/>
  <c r="M57" i="1"/>
  <c r="F180" i="3" l="1"/>
  <c r="F181"/>
  <c r="F182"/>
  <c r="G182" s="1"/>
  <c r="H182" s="1"/>
  <c r="F201"/>
  <c r="F202"/>
  <c r="F203"/>
  <c r="F204"/>
  <c r="F205"/>
  <c r="F206"/>
  <c r="F207"/>
  <c r="F208"/>
  <c r="F209"/>
  <c r="F210"/>
  <c r="F211"/>
  <c r="F212"/>
  <c r="F213"/>
  <c r="F214"/>
  <c r="F215"/>
  <c r="F183"/>
  <c r="G183" s="1"/>
  <c r="H183" s="1"/>
  <c r="F184"/>
  <c r="F185"/>
  <c r="F186"/>
  <c r="F187"/>
  <c r="F188"/>
  <c r="F189"/>
  <c r="F190"/>
  <c r="F191"/>
  <c r="F159"/>
  <c r="F160"/>
  <c r="F161"/>
  <c r="G161" s="1"/>
  <c r="H161" s="1"/>
  <c r="F162"/>
  <c r="G162" s="1"/>
  <c r="H162" s="1"/>
  <c r="F163"/>
  <c r="F164"/>
  <c r="F165"/>
  <c r="F166"/>
  <c r="G128"/>
  <c r="G122"/>
  <c r="F111"/>
  <c r="F112"/>
  <c r="F113"/>
  <c r="F114"/>
  <c r="F115"/>
  <c r="F110"/>
  <c r="G99"/>
  <c r="H99" s="1"/>
  <c r="I99" s="1"/>
  <c r="G100"/>
  <c r="H100" s="1"/>
  <c r="I100" s="1"/>
  <c r="G101"/>
  <c r="H101" s="1"/>
  <c r="I101" s="1"/>
  <c r="G181" l="1"/>
  <c r="H181" s="1"/>
  <c r="G180"/>
  <c r="F192"/>
  <c r="H128"/>
  <c r="G130"/>
  <c r="G159"/>
  <c r="F167"/>
  <c r="G131"/>
  <c r="G160"/>
  <c r="H160" s="1"/>
  <c r="DT15" i="7"/>
  <c r="EG15"/>
  <c r="ET15"/>
  <c r="DG21"/>
  <c r="DT21"/>
  <c r="EG21"/>
  <c r="ET21"/>
  <c r="DG33"/>
  <c r="DT33"/>
  <c r="EG33"/>
  <c r="ET33"/>
  <c r="ET36"/>
  <c r="H180" i="3" l="1"/>
  <c r="H192" s="1"/>
  <c r="G192"/>
  <c r="H159"/>
  <c r="H167" s="1"/>
  <c r="G167"/>
  <c r="I128"/>
  <c r="I130" s="1"/>
  <c r="H130"/>
  <c r="ET14" i="7"/>
  <c r="ET7" s="1"/>
  <c r="EG14"/>
  <c r="EG7" s="1"/>
  <c r="DT14"/>
  <c r="DT7" s="1"/>
  <c r="DG14"/>
  <c r="L92" i="1"/>
  <c r="M92"/>
  <c r="K92"/>
  <c r="L311"/>
  <c r="L309" s="1"/>
  <c r="M311"/>
  <c r="M309" s="1"/>
  <c r="K311"/>
  <c r="K309" s="1"/>
  <c r="L141"/>
  <c r="M141"/>
  <c r="K141"/>
  <c r="G116" i="3"/>
  <c r="H116"/>
  <c r="F116"/>
  <c r="G143"/>
  <c r="H143"/>
  <c r="F143"/>
  <c r="G220"/>
  <c r="H220"/>
  <c r="F216"/>
  <c r="F217"/>
  <c r="F218"/>
  <c r="F219"/>
  <c r="G104"/>
  <c r="H104"/>
  <c r="I104"/>
  <c r="F74"/>
  <c r="D23"/>
  <c r="D24"/>
  <c r="I24" s="1"/>
  <c r="D25"/>
  <c r="I25" s="1"/>
  <c r="D26"/>
  <c r="I26" s="1"/>
  <c r="D27"/>
  <c r="I27" s="1"/>
  <c r="D28"/>
  <c r="I28" s="1"/>
  <c r="D29"/>
  <c r="I29" s="1"/>
  <c r="G67"/>
  <c r="H67"/>
  <c r="F62"/>
  <c r="F63"/>
  <c r="F64"/>
  <c r="F65"/>
  <c r="F66"/>
  <c r="F61"/>
  <c r="I21"/>
  <c r="I30" s="1"/>
  <c r="DG7" i="7" l="1"/>
  <c r="DG37"/>
  <c r="DG36" s="1"/>
  <c r="H131" i="3"/>
  <c r="I131"/>
  <c r="M91" i="1"/>
  <c r="M61" i="8"/>
  <c r="M60" s="1"/>
  <c r="M54" s="1"/>
  <c r="K91" i="1"/>
  <c r="K61" i="8"/>
  <c r="K60" s="1"/>
  <c r="K54" s="1"/>
  <c r="K27" s="1"/>
  <c r="L91" i="1"/>
  <c r="L61" i="8"/>
  <c r="L60" s="1"/>
  <c r="L54" s="1"/>
  <c r="F220" i="3"/>
  <c r="F67"/>
  <c r="L140" i="1"/>
  <c r="M140"/>
  <c r="K140"/>
  <c r="H74" i="3"/>
  <c r="H79" s="1"/>
  <c r="G79" l="1"/>
  <c r="F50"/>
  <c r="F48" s="1"/>
  <c r="E52"/>
  <c r="R77" i="1"/>
  <c r="F52" i="3" l="1"/>
  <c r="E53"/>
  <c r="J13" i="5"/>
  <c r="J11" s="1"/>
  <c r="I13"/>
  <c r="I11" s="1"/>
  <c r="H13"/>
  <c r="H11"/>
  <c r="E54" i="3" l="1"/>
  <c r="F54" s="1"/>
  <c r="F53"/>
  <c r="F51" s="1"/>
  <c r="J13" i="4"/>
  <c r="J11" s="1"/>
  <c r="I13"/>
  <c r="I11" s="1"/>
  <c r="H13"/>
  <c r="H11" s="1"/>
  <c r="J10"/>
  <c r="J8" s="1"/>
  <c r="J14" s="1"/>
  <c r="I10"/>
  <c r="I8" s="1"/>
  <c r="H10"/>
  <c r="H8" s="1"/>
  <c r="I14" l="1"/>
  <c r="H14"/>
  <c r="F55" i="3"/>
  <c r="F222" s="1"/>
  <c r="K30"/>
  <c r="H50" s="1"/>
  <c r="J30"/>
  <c r="G50" s="1"/>
  <c r="G54" l="1"/>
  <c r="G53"/>
  <c r="G52"/>
  <c r="G48"/>
  <c r="H54"/>
  <c r="H48"/>
  <c r="H52"/>
  <c r="H53"/>
  <c r="L34" i="1"/>
  <c r="L133"/>
  <c r="M133"/>
  <c r="K133"/>
  <c r="K132" s="1"/>
  <c r="L130"/>
  <c r="M130"/>
  <c r="K130"/>
  <c r="L124"/>
  <c r="M124"/>
  <c r="L126"/>
  <c r="M126"/>
  <c r="K126"/>
  <c r="K124"/>
  <c r="L114"/>
  <c r="M114"/>
  <c r="K114"/>
  <c r="K53"/>
  <c r="L53"/>
  <c r="M53"/>
  <c r="L47"/>
  <c r="M47"/>
  <c r="K43"/>
  <c r="L43"/>
  <c r="M43"/>
  <c r="K40"/>
  <c r="L40"/>
  <c r="M40"/>
  <c r="K37"/>
  <c r="L37"/>
  <c r="M37"/>
  <c r="K34"/>
  <c r="M34"/>
  <c r="K31"/>
  <c r="L31"/>
  <c r="M31"/>
  <c r="H51" i="3" l="1"/>
  <c r="G51"/>
  <c r="G55" s="1"/>
  <c r="G222" s="1"/>
  <c r="H55"/>
  <c r="H222" s="1"/>
  <c r="K118" i="1"/>
  <c r="L118"/>
  <c r="K30"/>
  <c r="P78" s="1"/>
  <c r="M118"/>
  <c r="L132"/>
  <c r="L56" s="1"/>
  <c r="M132"/>
  <c r="M94"/>
  <c r="L94"/>
  <c r="K94"/>
  <c r="L30"/>
  <c r="M30"/>
  <c r="M56" l="1"/>
  <c r="K56" l="1"/>
  <c r="K29" s="1"/>
  <c r="L26" i="8" s="1"/>
  <c r="L27" s="1"/>
  <c r="L29" i="1" l="1"/>
  <c r="M26" i="8" l="1"/>
  <c r="M27" s="1"/>
  <c r="M29" i="1"/>
  <c r="H8" i="5"/>
  <c r="H14"/>
  <c r="I10"/>
  <c r="I8"/>
  <c r="I14"/>
  <c r="J10"/>
  <c r="J8"/>
  <c r="J14"/>
</calcChain>
</file>

<file path=xl/sharedStrings.xml><?xml version="1.0" encoding="utf-8"?>
<sst xmlns="http://schemas.openxmlformats.org/spreadsheetml/2006/main" count="2463" uniqueCount="580">
  <si>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</si>
  <si>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</si>
  <si>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</si>
  <si>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</si>
  <si>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</si>
  <si>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</si>
  <si>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</si>
  <si>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</si>
  <si>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</si>
  <si>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</si>
  <si>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</si>
  <si>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</si>
  <si>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</si>
  <si>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</si>
  <si>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</si>
  <si>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</si>
  <si>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</si>
  <si>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</si>
  <si>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</si>
  <si>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</si>
  <si>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</si>
  <si>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</si>
  <si>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</si>
  <si>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</si>
  <si>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</si>
  <si>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</si>
  <si>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</si>
  <si>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</si>
  <si>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</si>
  <si>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</si>
  <si>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</si>
  <si>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</si>
  <si>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</si>
  <si>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</si>
  <si>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 xml:space="preserve">в том числе:
субсидии на финансовое обеспечение выполнения муниципального задания 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</si>
  <si>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</si>
  <si>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</si>
  <si>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</si>
  <si>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</si>
  <si>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</si>
  <si>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</si>
  <si>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</si>
  <si>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</si>
  <si>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</si>
  <si>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</si>
  <si>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</si>
  <si>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</si>
  <si>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</si>
  <si>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иной приносящей доход деятельности, всего</t>
  </si>
  <si>
    <t>1900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</si>
  <si>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</si>
  <si>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</si>
  <si>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</si>
  <si>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</si>
  <si>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</si>
  <si>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</si>
  <si>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</si>
  <si>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</si>
  <si>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</si>
  <si>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</si>
  <si>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</si>
  <si>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</si>
  <si>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</si>
  <si>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</si>
  <si>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</si>
  <si>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</si>
  <si>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</si>
  <si>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</si>
  <si>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</si>
  <si>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</si>
  <si>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</si>
  <si>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</si>
  <si>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</si>
  <si>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</si>
  <si>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</si>
  <si>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</si>
  <si>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</si>
  <si>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</si>
  <si>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</si>
  <si>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</si>
  <si>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</si>
  <si>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</si>
  <si>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</si>
  <si>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</si>
  <si>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</si>
  <si>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</si>
  <si>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</si>
  <si>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</si>
  <si>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</si>
  <si>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</si>
  <si>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</si>
  <si>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</si>
  <si>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</si>
  <si>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</si>
  <si>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</si>
  <si>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</si>
  <si>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</si>
  <si>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</si>
  <si>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</si>
  <si>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</si>
  <si>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</si>
  <si>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</si>
  <si>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</si>
  <si>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</si>
  <si>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</si>
  <si>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</si>
  <si>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</si>
  <si>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</si>
  <si>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</si>
  <si>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</si>
  <si>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</si>
  <si>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</si>
  <si>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</si>
  <si>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</si>
  <si>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Раздел 1. Поступления и выплаты</t>
  </si>
  <si>
    <t>Приложение№1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</si>
  <si>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__30.12.2019________№_216__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</si>
  <si>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</si>
  <si>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</si>
  <si>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</si>
  <si>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</si>
  <si>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</si>
  <si>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(расшифровка)</t>
  </si>
  <si>
    <t>"Утверждаю"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</si>
  <si>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</si>
  <si>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</si>
  <si>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</si>
  <si>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</si>
  <si>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</si>
  <si>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</si>
  <si>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</si>
  <si>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 xml:space="preserve">Выплаты на закупку товаров, работ, услуг, всего 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</si>
  <si>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</si>
  <si>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</si>
  <si>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</si>
  <si>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</si>
  <si>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</si>
  <si>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</si>
  <si>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</si>
  <si>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</si>
  <si>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</si>
  <si>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</si>
  <si>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</si>
  <si>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</si>
  <si>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</si>
  <si>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</si>
  <si>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в том числе:
за счет субсидий, предоставляемых на финансовое обеспечение выполнения муниципального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</si>
  <si>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</si>
  <si>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</si>
  <si>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</si>
  <si>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</si>
  <si>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</si>
  <si>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</si>
  <si>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</si>
  <si>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</si>
  <si>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</si>
  <si>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</si>
  <si>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</si>
  <si>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</si>
  <si>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</si>
  <si>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</si>
  <si>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</si>
  <si>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</si>
  <si>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</si>
  <si>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</si>
  <si>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</si>
  <si>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</si>
  <si>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</si>
  <si>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</si>
  <si>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</si>
  <si>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</si>
  <si>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</si>
  <si>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</si>
  <si>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</si>
  <si>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</si>
  <si>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</si>
  <si>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</si>
  <si>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</si>
  <si>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</si>
  <si>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</si>
  <si>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</si>
  <si>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</si>
  <si>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</si>
  <si>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</si>
  <si>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</si>
  <si>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</si>
  <si>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</si>
  <si>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родительская плата</t>
  </si>
  <si>
    <t>столовая</t>
  </si>
  <si>
    <t>возмещение</t>
  </si>
  <si>
    <t>платные услуги</t>
  </si>
  <si>
    <t>04.02.000</t>
  </si>
  <si>
    <t>12101Z1053</t>
  </si>
  <si>
    <t>1210376210</t>
  </si>
  <si>
    <t>1211121130</t>
  </si>
  <si>
    <t>1211821190</t>
  </si>
  <si>
    <t>на 2020 год</t>
  </si>
  <si>
    <t>на 2021 год</t>
  </si>
  <si>
    <t>на 2022 год</t>
  </si>
  <si>
    <t>21</t>
  </si>
  <si>
    <t>22</t>
  </si>
  <si>
    <t>Приложение№5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</si>
  <si>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____30.12.2019_____№___216___</t>
  </si>
  <si>
    <t>Расчеты (обоснования) выплат к плану финансово-хозяйственной деятельности муниципального бюджетного и автономного учреждения учреждения</t>
  </si>
  <si>
    <t>Код видов расходов</t>
  </si>
  <si>
    <t xml:space="preserve">Источник финансового обеспечения </t>
  </si>
  <si>
    <t xml:space="preserve">1. Расчеты (обоснования) выплат персоналу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</si>
  <si>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</si>
  <si>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</si>
  <si>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</si>
  <si>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</si>
  <si>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</si>
  <si>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</si>
  <si>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</si>
  <si>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</si>
  <si>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</si>
  <si>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</t>
  </si>
  <si>
    <t>1.2. Расчеты (обоснования) выплат персоналу при направлении в служебные командировки</t>
  </si>
  <si>
    <t>№ 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</si>
  <si>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</si>
  <si>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</si>
  <si>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</si>
  <si>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</si>
  <si>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 20____ г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</si>
  <si>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</si>
  <si>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</si>
  <si>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</si>
  <si>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</si>
  <si>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</si>
  <si>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</si>
  <si>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</si>
  <si>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</si>
  <si>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</si>
  <si>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</si>
  <si>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</si>
  <si>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</si>
  <si>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</si>
  <si>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</si>
  <si>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</si>
  <si>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</si>
  <si>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4. Расчет (обоснование) прочих расходов 
(кроме расходов на закупку товаров, работ, услуг)</t>
  </si>
  <si>
    <t>Размер одной выплаты, руб</t>
  </si>
  <si>
    <t>Общая сумма выплат,  руб. 
20________г</t>
  </si>
  <si>
    <t>5. Расчет (обоснование) расходов на закупку товаров, работ, услуг</t>
  </si>
  <si>
    <t>5.1. Расчет (обоснование) расходов на оплату услуг связи</t>
  </si>
  <si>
    <t>Количество номеров, минут</t>
  </si>
  <si>
    <t>Количество платежей в год</t>
  </si>
  <si>
    <t>Стоимость за единицу, руб.</t>
  </si>
  <si>
    <t>5.2.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</si>
  <si>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</si>
  <si>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</si>
  <si>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5.3.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</si>
  <si>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</si>
  <si>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</si>
  <si>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</si>
  <si>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5.4.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</si>
  <si>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</si>
  <si>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</si>
  <si>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
20________г</t>
  </si>
  <si>
    <t>5.5. Расчет (обоснование) расходов на оплату работ, услуг по содержанию имущества</t>
  </si>
  <si>
    <t>Количество договоров</t>
  </si>
  <si>
    <t>Средняя стоимость, руб.</t>
  </si>
  <si>
    <t>5.6. Расчет (обоснование) расходов на оплату прочих работ, услуг</t>
  </si>
  <si>
    <t>5.7. Расчет (обоснование) расходов на приобретение основных средств, материальных запасов</t>
  </si>
  <si>
    <t>ВСЕГО</t>
  </si>
  <si>
    <t xml:space="preserve">    (должность)</t>
  </si>
  <si>
    <t xml:space="preserve">     (подпись)</t>
  </si>
  <si>
    <t xml:space="preserve">                              (расшифровка подписи)</t>
  </si>
  <si>
    <t xml:space="preserve">   (должность)</t>
  </si>
  <si>
    <t>Приложение№2</t>
  </si>
  <si>
    <t>Обоснование (расчет) доходов от использования собственности (аренда)</t>
  </si>
  <si>
    <t>Наименование дохода</t>
  </si>
  <si>
    <t>Плата (тариф, ставка) арендной платы за единицу площади ( 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</si>
  <si>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</si>
  <si>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</si>
  <si>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Остаток денежных средств, сложившийся на 01.01.20___г.</t>
  </si>
  <si>
    <t>_</t>
  </si>
  <si>
    <t>Кредиторская задолженность, сложившаяся на 01.01.20___г.  по доходам, а также полученные на начало текущего финансового года предварительные платежи (аванс)</t>
  </si>
  <si>
    <t>Недвижимое имущество,всего:</t>
  </si>
  <si>
    <t>…</t>
  </si>
  <si>
    <t>Движимое имущество,всего:</t>
  </si>
  <si>
    <t>ИТОГО:</t>
  </si>
  <si>
    <t>Приложение№3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</si>
  <si>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____30.12.2019____№__216___</t>
  </si>
  <si>
    <t>Обоснование (расчет) доходов в виде возмещения расходов, понесенных в связи с эксплуатацией государственного (муниципального) имущества</t>
  </si>
  <si>
    <t>Планируемая стоимость услуг (возмещаемых расходов), руб.</t>
  </si>
  <si>
    <t>Приложение№4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</si>
  <si>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___30.12.2019_____№___216___</t>
  </si>
  <si>
    <t xml:space="preserve">Обоснование (расчет) доходов от иной приносящей доход деятельности </t>
  </si>
  <si>
    <t>Справочно:</t>
  </si>
  <si>
    <t>Среднее количество поступлений (дней) за последние три года</t>
  </si>
  <si>
    <t>Количество детей, получаемых услугу, чел.</t>
  </si>
  <si>
    <t>Плата (тариф, ставка)  за единицу услуги (работы), руб.</t>
  </si>
  <si>
    <t>Размер поступлений за последние три года</t>
  </si>
  <si>
    <t xml:space="preserve">Плата, взимаемая с родителей (законных представителей) за присмотр и уход за детьми, осваивающими образовательные программы дошкольного образования </t>
  </si>
  <si>
    <t>Доход от реализации продуктов питания, произведенных столовой общеобразовательного учреждения</t>
  </si>
  <si>
    <t>Сведения о нормативно-правовых актах, устанавливающих размер платы (тарифа) платной дополнительной услуги</t>
  </si>
  <si>
    <t xml:space="preserve">Вид </t>
  </si>
  <si>
    <t xml:space="preserve"> Номер</t>
  </si>
  <si>
    <t>Наименование</t>
  </si>
  <si>
    <t>Бюджет города Пензы</t>
  </si>
  <si>
    <t>Сумма, руб. 
(гр. 3 x гр. 4 x 
гр. 5) 2021 г</t>
  </si>
  <si>
    <t>Сумма, руб. 
(гр. 3 x гр. 4 x 
гр. 5) 2022 г</t>
  </si>
  <si>
    <t>Сумма, руб. 
 2021 г</t>
  </si>
  <si>
    <t>Сумма, руб. 
 2022 г</t>
  </si>
  <si>
    <t>административно-управленческий</t>
  </si>
  <si>
    <t>педагогический</t>
  </si>
  <si>
    <t>прочий персонал</t>
  </si>
  <si>
    <t>Фонд оплаты труда в год с k , руб 2021 г</t>
  </si>
  <si>
    <t>Фонд оплаты труда в год с k , руб 2022 г</t>
  </si>
  <si>
    <t>Пособие до 3-х лет</t>
  </si>
  <si>
    <t>Налог на землю</t>
  </si>
  <si>
    <t>Налог на имущество</t>
  </si>
  <si>
    <t>Договор №</t>
  </si>
  <si>
    <t>абоненская плата</t>
  </si>
  <si>
    <t>поминутная плата</t>
  </si>
  <si>
    <t>интернет</t>
  </si>
  <si>
    <t>221</t>
  </si>
  <si>
    <t>222</t>
  </si>
  <si>
    <t>223</t>
  </si>
  <si>
    <t>225</t>
  </si>
  <si>
    <t>226</t>
  </si>
  <si>
    <t>310</t>
  </si>
  <si>
    <t>346</t>
  </si>
  <si>
    <t>344</t>
  </si>
  <si>
    <t>342</t>
  </si>
  <si>
    <t>211</t>
  </si>
  <si>
    <t>266</t>
  </si>
  <si>
    <t xml:space="preserve">1210171053 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</si>
  <si>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</si>
  <si>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</si>
  <si>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</si>
  <si>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2200</t>
  </si>
  <si>
    <t>300</t>
  </si>
  <si>
    <t>2210</t>
  </si>
  <si>
    <t>2211</t>
  </si>
  <si>
    <t>320</t>
  </si>
  <si>
    <t>321</t>
  </si>
  <si>
    <t>264</t>
  </si>
  <si>
    <t>ПРОВЕРКА</t>
  </si>
  <si>
    <t>213</t>
  </si>
  <si>
    <t>1210521010</t>
  </si>
  <si>
    <t>349</t>
  </si>
  <si>
    <t>1210476240</t>
  </si>
  <si>
    <t>121Е576240</t>
  </si>
  <si>
    <t>1211074342</t>
  </si>
  <si>
    <t>1210921170</t>
  </si>
  <si>
    <t>1211221140</t>
  </si>
  <si>
    <t>1211721050</t>
  </si>
  <si>
    <t>1212078030</t>
  </si>
  <si>
    <t>1210621180</t>
  </si>
  <si>
    <t>291</t>
  </si>
  <si>
    <t>Пособие по б/л ( 3 дня)</t>
  </si>
  <si>
    <t xml:space="preserve"> </t>
  </si>
  <si>
    <t>974</t>
  </si>
  <si>
    <t>платные дополнительные образовательные услуги</t>
  </si>
  <si>
    <t>родительская плата за прибывание детей в лагере</t>
  </si>
  <si>
    <t>возмещение коммунальных затрат</t>
  </si>
  <si>
    <t>228</t>
  </si>
  <si>
    <t>из них:  Услуги свзи</t>
  </si>
  <si>
    <t>Коммунальные услуги</t>
  </si>
  <si>
    <t>Работы, услуги по содержанию имущества</t>
  </si>
  <si>
    <t>прочие работы, услуги</t>
  </si>
  <si>
    <t>Услуги , работы для целей капитальных вложений</t>
  </si>
  <si>
    <t>Увеличение стоимости основных средств</t>
  </si>
  <si>
    <t>Увеличение стоимости строительных материалов</t>
  </si>
  <si>
    <t>Увеличение стоимоти прочих материальных запасов</t>
  </si>
  <si>
    <t>Увеличение стоимоти прочих материальных запасов однократного применения</t>
  </si>
  <si>
    <t>Директор</t>
  </si>
  <si>
    <t>возмещение коммунальных затрат от ипользования помещений</t>
  </si>
  <si>
    <t>2018 г.</t>
  </si>
  <si>
    <t>2019г.</t>
  </si>
  <si>
    <t>Остаток денежных средств, сложившийся на 01.01.2020г.</t>
  </si>
  <si>
    <t>Кредиторская задолженность, сложившаяся на 01.01.2020г.  по доходам, а также полученные на начало текущего финансового года предварительные платежи (аванс)</t>
  </si>
  <si>
    <t>Родительская плата за обеспечение отдыха и оздоровления обучающихся в лагерях с дневным пребыванием в каникулярное время (весна)</t>
  </si>
  <si>
    <t>Родительская плата за обеспечение отдыха и оздоровления обучающихся в лагерях с дневным пребыванием в каникулярное время (лето)</t>
  </si>
  <si>
    <t>Постановление администрации города Пензы</t>
  </si>
  <si>
    <t>2122/6</t>
  </si>
  <si>
    <t>об установлении тарифов на дополнительные платные образовательные услуги, предоставляемые муниципальным бюджетным общеобразовательным учреждением финансово-экономический лицей №29 г. Пензы</t>
  </si>
  <si>
    <t>Орган, осуществляющий</t>
  </si>
  <si>
    <t>функции и полномочия учредителя</t>
  </si>
  <si>
    <t>Управление образования города Пензы</t>
  </si>
  <si>
    <t>Учреждение</t>
  </si>
  <si>
    <t>Единица измерения: руб.</t>
  </si>
  <si>
    <t>04.04.000</t>
  </si>
  <si>
    <t>04.04.00</t>
  </si>
  <si>
    <t>1.3.1</t>
  </si>
  <si>
    <t>26310</t>
  </si>
  <si>
    <t>1.3.2</t>
  </si>
  <si>
    <t>в том числе: в соответствии с Федеральным законом №44-ФЗ</t>
  </si>
  <si>
    <t>в соответствии с Федеральным законом №223-ФЗ</t>
  </si>
  <si>
    <t>26310.1</t>
  </si>
  <si>
    <t>Код по бюджетной классификации Российской Федерации (ЦСР)</t>
  </si>
  <si>
    <t>безвоздмезные перечисления организациям и физическим лицам, всего</t>
  </si>
  <si>
    <t xml:space="preserve">         гранты, предоставляемые бюджетным учреждениям</t>
  </si>
  <si>
    <t xml:space="preserve">        гранты, предоставляемые автономным  учреждениям</t>
  </si>
  <si>
    <t>от " 11 " января 2021г.</t>
  </si>
  <si>
    <t>11.01.2021</t>
  </si>
  <si>
    <t>План финансово-хозяйственной деятельности на 2021 г.</t>
  </si>
  <si>
    <t>( на 2021 г. и плановый период 2022 и 2023 годов)</t>
  </si>
  <si>
    <t>"11" января 2021</t>
  </si>
  <si>
    <t>23</t>
  </si>
  <si>
    <t>2641.1</t>
  </si>
  <si>
    <t>2641.2</t>
  </si>
  <si>
    <t>2641.3</t>
  </si>
  <si>
    <t>закупку энергитических ресурсов</t>
  </si>
  <si>
    <t>26421.1</t>
  </si>
  <si>
    <t>26421.2</t>
  </si>
  <si>
    <t>26421.3</t>
  </si>
  <si>
    <t>26421.4</t>
  </si>
  <si>
    <t>26421.5</t>
  </si>
  <si>
    <t>26421.6</t>
  </si>
  <si>
    <t>26421.7</t>
  </si>
  <si>
    <t>26421.8</t>
  </si>
  <si>
    <t>на 2021 г.  текущий финансовый год</t>
  </si>
  <si>
    <t xml:space="preserve">на 2022 г.  первый год планового периода </t>
  </si>
  <si>
    <t xml:space="preserve">на 2023г.  второй год планового периода </t>
  </si>
  <si>
    <t xml:space="preserve">на 2023 г.  второй год планового периода </t>
  </si>
  <si>
    <t>2020г.</t>
  </si>
  <si>
    <t>ФЗП на 01.01.2021</t>
  </si>
  <si>
    <t>Фонд оплаты труда в год с k , руб 2023 г</t>
  </si>
  <si>
    <t>Сумма, руб. 
(гр. 3 x гр. 4 x 
гр. 5) 2023 г</t>
  </si>
  <si>
    <t>Сумма, руб. 
 2023 г</t>
  </si>
  <si>
    <t>Сумма исчисленного 
налога, подлежащего 
уплате, руб. 
2021 г</t>
  </si>
  <si>
    <t>Сумма исчисленного 
налога, подлежащего 
уплате, руб. 
2022г</t>
  </si>
  <si>
    <t>Сумма исчисленного 
налога, подлежащего 
уплате, руб. 
2023 г</t>
  </si>
  <si>
    <t>5835070166</t>
  </si>
  <si>
    <t>583501001</t>
  </si>
  <si>
    <t xml:space="preserve"> "Гимназия во имя святителя Иннокентия Пензенского" г. Пензы</t>
  </si>
  <si>
    <t>12124L3040</t>
  </si>
  <si>
    <t>12124S3040</t>
  </si>
  <si>
    <t>1212353030</t>
  </si>
  <si>
    <t>ПОУ "Преемственность. Предшкольное развитие"</t>
  </si>
  <si>
    <t>ПОУ"Развитие речи"</t>
  </si>
  <si>
    <t>ПОУ"Прикладная экономика"</t>
  </si>
  <si>
    <t>ПОУ "Учись Учится"</t>
  </si>
  <si>
    <t>ПОУ " Вундеркинд "</t>
  </si>
  <si>
    <t>Наименования учреждения  "Гимназия во имя святителя Иннокентия Пензенского" г. Пензы</t>
  </si>
  <si>
    <t>кредиторская задолженность за декабрь 2020 года</t>
  </si>
  <si>
    <t>оплата водоснабжения помещения ООО "Горводоканал"</t>
  </si>
  <si>
    <t>услуги по обращению с твердыми коммунальными отходами. ООО "Управление благоустройства и очистки"</t>
  </si>
  <si>
    <t>оплата отопления и технологических нужд договор с ПАО "Т Плюс"</t>
  </si>
  <si>
    <t>оплата потребления освещения договор ООО "ТНС энерго Пенза"</t>
  </si>
  <si>
    <t xml:space="preserve"> свободные нерегулируемые цены </t>
  </si>
  <si>
    <t>ВР 244</t>
  </si>
  <si>
    <t>ВР 247</t>
  </si>
  <si>
    <t>тех. обслуживание ТС Филиал ФГУП "Охрана" Росгвардии по Пензенской области</t>
  </si>
  <si>
    <t>261,2 руб. * 12 мес..=3134,4</t>
  </si>
  <si>
    <t>Дератизация помещенияс ИП Володина Татьяна Витальевна</t>
  </si>
  <si>
    <t>1290кв.м*0,2руб.*12мес..=3096</t>
  </si>
  <si>
    <t>техническое обслуживание   АПС и мониторинг ООО "Чернобылец  плюс"</t>
  </si>
  <si>
    <t>1698*12 мес=20376 руб.</t>
  </si>
  <si>
    <t>тех. обслуживание средств радиомодема для прямой связи ООО "Чернобылец  плюс"</t>
  </si>
  <si>
    <t>1100руб.*12мес..=13200руб.</t>
  </si>
  <si>
    <t>тех. обслуживание теплосчетчиков ООО "ИНТОП ПЛЮС"</t>
  </si>
  <si>
    <t>1605,26руб..*12мес.=19263,12</t>
  </si>
  <si>
    <t>промывка, опрессовка</t>
  </si>
  <si>
    <t>техническое обслуживание видеонаблюдения</t>
  </si>
  <si>
    <t xml:space="preserve">дизенсекция, обработка территории </t>
  </si>
  <si>
    <t>ремонт и заправка картириджей</t>
  </si>
  <si>
    <t xml:space="preserve">тревожная кнопка ОВО  по г. Пензе </t>
  </si>
  <si>
    <t xml:space="preserve"> филиал ФГКУ "УВО ВНГ России по Пензенской области"</t>
  </si>
  <si>
    <t>медецинский осмотр сотрудников</t>
  </si>
  <si>
    <t>4чел.*1030руб.=4120,00руб.</t>
  </si>
  <si>
    <t>21чел.*1240руб=26040,00руб.</t>
  </si>
  <si>
    <t>ренген 25 чел.*160руб.=4000,00руб.</t>
  </si>
  <si>
    <t>выпуск сертификата ЭП на рабочем месте клиента</t>
  </si>
  <si>
    <t>Физическая охрана ( ЧОП )</t>
  </si>
  <si>
    <t>электронная отчетность</t>
  </si>
  <si>
    <t>перевыпуск сертификатов ЭЦП</t>
  </si>
  <si>
    <t>3591,99 руб. * 12 мес..=43103,88</t>
  </si>
  <si>
    <t>строительные материалы</t>
  </si>
  <si>
    <t>бланки аттестатов</t>
  </si>
  <si>
    <t>приобретение канцелярских товаров</t>
  </si>
  <si>
    <t>и.о. Директора</t>
  </si>
  <si>
    <t>Духанина Е.А.</t>
  </si>
  <si>
    <t>главный бухгалтер</t>
  </si>
  <si>
    <t>Варфоломеева Н.Ю.</t>
  </si>
  <si>
    <t>49-84-09</t>
  </si>
  <si>
    <t>Налог на имущество (школа-новостройка)</t>
  </si>
  <si>
    <t>Налог на землю (школа-новостройка)</t>
  </si>
  <si>
    <t>Фонд оплаты труда в год с k , руб 2020 г</t>
  </si>
  <si>
    <t xml:space="preserve">ФЗП на 01.01.20 </t>
  </si>
  <si>
    <t>Сумма, руб. 
(гр. 3 x гр. 4 x 
гр. 5) 2020 г</t>
  </si>
  <si>
    <t>Сумма, руб. 
 2020 г</t>
  </si>
  <si>
    <t>Сумма исчисленного 
налога, подлежащего 
уплате, руб. 
2020 г</t>
  </si>
  <si>
    <t>Сумма исчисленного 
налога, подлежащего 
уплате, руб. 
2021г</t>
  </si>
  <si>
    <t>Сумма исчисленного 
налога, подлежащего 
уплате, руб. 
2022 г</t>
  </si>
  <si>
    <t>Договор с ПАО "Ростелеком"</t>
  </si>
  <si>
    <t xml:space="preserve">              "_11_" _января_ 2021г.</t>
  </si>
  <si>
    <t>ФЗП на 01.01.21</t>
  </si>
  <si>
    <t>Бюджет Пензенской области</t>
  </si>
  <si>
    <t>и.о.Директора</t>
  </si>
  <si>
    <t>ИТОГО</t>
  </si>
  <si>
    <t>в том числе косгу 266 "Социальные пособия и компенсации персоналу в денежной форме"</t>
  </si>
  <si>
    <t>курсы повышения квалификации</t>
  </si>
  <si>
    <t xml:space="preserve">програмное обеспечение </t>
  </si>
  <si>
    <t>приобретение учебников</t>
  </si>
  <si>
    <t>учебные материалы</t>
  </si>
  <si>
    <t>приобретение учебной мебели</t>
  </si>
  <si>
    <t xml:space="preserve">ФЗП на 01.09.21 </t>
  </si>
  <si>
    <t xml:space="preserve">ФЗП на 01.12.21 </t>
  </si>
  <si>
    <t xml:space="preserve">              "_11_" января_ 2021г.</t>
  </si>
  <si>
    <t>121353030</t>
  </si>
  <si>
    <t>Договор с АО "Эр-Телеком холдинг"</t>
  </si>
  <si>
    <t>стоимость, руб.</t>
  </si>
  <si>
    <t>лагерь весна</t>
  </si>
  <si>
    <t>кол-во детей</t>
  </si>
  <si>
    <t>кол-во дней</t>
  </si>
  <si>
    <t>Итого весенний лагерь</t>
  </si>
  <si>
    <t>лагерь лето</t>
  </si>
  <si>
    <t>итого на год</t>
  </si>
  <si>
    <t>Итоголетний лагерь</t>
  </si>
  <si>
    <t xml:space="preserve">              "11_" _января 2021г.</t>
  </si>
  <si>
    <t>12124S3042</t>
  </si>
  <si>
    <t>кол-во детодней питания</t>
  </si>
  <si>
    <t>пнд.-птн.</t>
  </si>
  <si>
    <t>наценка</t>
  </si>
  <si>
    <t>дотация (завтрак и обед) 7-11 лет</t>
  </si>
  <si>
    <t>21,5% от 23,61</t>
  </si>
  <si>
    <t>78,5% от 23,61</t>
  </si>
  <si>
    <t>Духанина .Е.А.</t>
  </si>
  <si>
    <t>12124L3041</t>
  </si>
  <si>
    <t>продуктовый набор</t>
  </si>
  <si>
    <t>Федеральный бюджет</t>
  </si>
  <si>
    <t>5% от 50,46</t>
  </si>
  <si>
    <t>3% от 52,46</t>
  </si>
  <si>
    <t>92% от 52,46</t>
  </si>
  <si>
    <t xml:space="preserve">              "11_" _января_ 2021г.</t>
  </si>
  <si>
    <t>Фонд оплаты труда в год с k , руб 2021</t>
  </si>
  <si>
    <t>Фонд оплаты труда в год с k , руб 2023г</t>
  </si>
  <si>
    <t>дотация (завтрак) 7-11 лет</t>
  </si>
  <si>
    <t>дотация (завтрак) 11-18 лет</t>
  </si>
  <si>
    <t>дотация (обед) 7-11 лет</t>
  </si>
  <si>
    <t>дотация (обед) 11-18 лет</t>
  </si>
  <si>
    <t>дети-инвалиды (завтрак) 7-11 лет</t>
  </si>
  <si>
    <t>дети-инвалиды (завтрак) 11-18 лет</t>
  </si>
  <si>
    <t>дети-инвалиды (обед) 7-11 лет</t>
  </si>
  <si>
    <t>дети-инвалиды (обед) 11-18 лет</t>
  </si>
  <si>
    <t>дети из многодетных семей (завтрак) 7-11 лет</t>
  </si>
  <si>
    <t>дети из многодетных семей (завтрак) 11-18 лет</t>
  </si>
  <si>
    <t>дети из многодетных семей (обед) 7-11 лет</t>
  </si>
  <si>
    <t>дети из многодетных семей (обед) 11-18 лет</t>
  </si>
  <si>
    <t>субб.</t>
  </si>
  <si>
    <t>Продуктовые наборы</t>
  </si>
  <si>
    <t>дотация ОВЗ (обед) 7-11 лет</t>
  </si>
  <si>
    <t>дотация ОВЗ (завтрак) 11-18 лет</t>
  </si>
  <si>
    <t>дотация ОВЗ (обед) 11-18 лет</t>
  </si>
  <si>
    <t xml:space="preserve">              "_11_" _января 2020г.</t>
  </si>
  <si>
    <t>5.6. Расчет (обоснование) расходов на оплату прочих работ, услуг закупку товаров, работ, услуг в целях капитального ремонта государственного (муниципального) имущества</t>
  </si>
  <si>
    <t>изготовление проектно-сметной документации</t>
  </si>
  <si>
    <t xml:space="preserve"> ремонт фасада и кровли</t>
  </si>
  <si>
    <t>противопо-жарные двери</t>
  </si>
  <si>
    <t>собственные средства учреждения</t>
  </si>
  <si>
    <t>ремонт и заправка офисной техники</t>
  </si>
  <si>
    <t>Психиатрическое освидетельствование</t>
  </si>
  <si>
    <t>Пришкольный лагерь весна</t>
  </si>
  <si>
    <t>Пришкольный лагерь лето-осень</t>
  </si>
  <si>
    <t>приобретение МФУ</t>
  </si>
  <si>
    <t>Духаниной Е.А.</t>
  </si>
  <si>
    <t>налоог на землю</t>
  </si>
  <si>
    <t>Гл.Бухгалтер</t>
  </si>
  <si>
    <t>498409</t>
  </si>
  <si>
    <t>Остаток денежных средств, сложившийся на 01.01.2021_г.</t>
  </si>
  <si>
    <t>Кредиторская задолженность, сложившаяся на 01.01.2021_г.  по доходам, а также полученные на начало текущего финансового года предварительные платежи (аванс)</t>
  </si>
  <si>
    <t>974 0702 1211221140 244</t>
  </si>
  <si>
    <t xml:space="preserve">974 0702 1210921170 244  </t>
  </si>
  <si>
    <t xml:space="preserve">974 0702 12124L3040 244  </t>
  </si>
  <si>
    <t xml:space="preserve">974 0702 12124S3040 244  </t>
  </si>
  <si>
    <t xml:space="preserve">974 0702 1211074342 244  </t>
  </si>
  <si>
    <t>2021</t>
  </si>
  <si>
    <t>2022</t>
  </si>
  <si>
    <t>2023</t>
  </si>
  <si>
    <t xml:space="preserve"> и.о. директора</t>
  </si>
  <si>
    <t xml:space="preserve">              "_11_"  января_ 2021г.</t>
  </si>
  <si>
    <t xml:space="preserve">ФЗП на 01.08.20 </t>
  </si>
  <si>
    <t xml:space="preserve">              "_26_" _февраля_ 2021_г.</t>
  </si>
  <si>
    <t xml:space="preserve"> Директор</t>
  </si>
  <si>
    <t>-</t>
  </si>
  <si>
    <t>среднее количество указанных поступлений за 2018-2020гг.</t>
  </si>
</sst>
</file>

<file path=xl/styles.xml><?xml version="1.0" encoding="utf-8"?>
<styleSheet xmlns="http://schemas.openxmlformats.org/spreadsheetml/2006/main">
  <numFmts count="1">
    <numFmt numFmtId="164" formatCode="#,##0.0"/>
  </numFmts>
  <fonts count="39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7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rgb="FF000000"/>
      <name val="Arial Cy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18" fillId="0" borderId="0"/>
    <xf numFmtId="4" fontId="28" fillId="10" borderId="71">
      <alignment horizontal="right" vertical="top" shrinkToFit="1"/>
    </xf>
    <xf numFmtId="4" fontId="28" fillId="0" borderId="71">
      <alignment horizontal="right" vertical="top" shrinkToFit="1"/>
    </xf>
  </cellStyleXfs>
  <cellXfs count="790">
    <xf numFmtId="0" fontId="0" fillId="0" borderId="0" xfId="0"/>
    <xf numFmtId="49" fontId="1" fillId="0" borderId="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6" fillId="0" borderId="0" xfId="0" applyFont="1"/>
    <xf numFmtId="0" fontId="2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top"/>
    </xf>
    <xf numFmtId="0" fontId="1" fillId="0" borderId="39" xfId="1" applyNumberFormat="1" applyFont="1" applyBorder="1" applyAlignment="1">
      <alignment horizontal="left"/>
    </xf>
    <xf numFmtId="0" fontId="1" fillId="0" borderId="40" xfId="1" applyNumberFormat="1" applyFont="1" applyBorder="1" applyAlignment="1">
      <alignment horizontal="left"/>
    </xf>
    <xf numFmtId="0" fontId="1" fillId="0" borderId="41" xfId="1" applyNumberFormat="1" applyFont="1" applyBorder="1" applyAlignment="1">
      <alignment horizontal="left"/>
    </xf>
    <xf numFmtId="0" fontId="1" fillId="0" borderId="42" xfId="1" applyNumberFormat="1" applyFont="1" applyBorder="1" applyAlignment="1">
      <alignment horizontal="left"/>
    </xf>
    <xf numFmtId="0" fontId="7" fillId="0" borderId="41" xfId="1" applyNumberFormat="1" applyFont="1" applyBorder="1" applyAlignment="1">
      <alignment horizontal="center" vertical="top"/>
    </xf>
    <xf numFmtId="0" fontId="7" fillId="0" borderId="42" xfId="1" applyNumberFormat="1" applyFont="1" applyBorder="1" applyAlignment="1">
      <alignment horizontal="center" vertical="top"/>
    </xf>
    <xf numFmtId="0" fontId="1" fillId="0" borderId="47" xfId="1" applyNumberFormat="1" applyFont="1" applyBorder="1" applyAlignment="1">
      <alignment horizontal="left"/>
    </xf>
    <xf numFmtId="0" fontId="1" fillId="0" borderId="48" xfId="1" applyNumberFormat="1" applyFont="1" applyBorder="1" applyAlignment="1">
      <alignment horizontal="left"/>
    </xf>
    <xf numFmtId="0" fontId="1" fillId="0" borderId="49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49" fontId="1" fillId="3" borderId="17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0" fontId="1" fillId="4" borderId="8" xfId="0" applyNumberFormat="1" applyFont="1" applyFill="1" applyBorder="1" applyAlignment="1">
      <alignment horizontal="left" indent="3"/>
    </xf>
    <xf numFmtId="49" fontId="1" fillId="4" borderId="17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4" fontId="1" fillId="0" borderId="50" xfId="0" applyNumberFormat="1" applyFont="1" applyBorder="1" applyAlignment="1">
      <alignment horizontal="center"/>
    </xf>
    <xf numFmtId="4" fontId="1" fillId="3" borderId="50" xfId="0" applyNumberFormat="1" applyFont="1" applyFill="1" applyBorder="1" applyAlignment="1">
      <alignment horizontal="center"/>
    </xf>
    <xf numFmtId="4" fontId="1" fillId="4" borderId="50" xfId="0" applyNumberFormat="1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" fontId="1" fillId="2" borderId="54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3" borderId="54" xfId="0" applyNumberFormat="1" applyFont="1" applyFill="1" applyBorder="1" applyAlignment="1">
      <alignment horizontal="center"/>
    </xf>
    <xf numFmtId="0" fontId="1" fillId="3" borderId="55" xfId="0" applyNumberFormat="1" applyFont="1" applyFill="1" applyBorder="1" applyAlignment="1">
      <alignment horizontal="center"/>
    </xf>
    <xf numFmtId="0" fontId="1" fillId="4" borderId="55" xfId="0" applyNumberFormat="1" applyFont="1" applyFill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 vertical="top" wrapText="1"/>
    </xf>
    <xf numFmtId="49" fontId="2" fillId="5" borderId="17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" fontId="1" fillId="5" borderId="54" xfId="0" applyNumberFormat="1" applyFont="1" applyFill="1" applyBorder="1" applyAlignment="1">
      <alignment horizontal="center"/>
    </xf>
    <xf numFmtId="0" fontId="1" fillId="5" borderId="55" xfId="0" applyNumberFormat="1" applyFont="1" applyFill="1" applyBorder="1" applyAlignment="1">
      <alignment horizontal="center"/>
    </xf>
    <xf numFmtId="0" fontId="11" fillId="0" borderId="0" xfId="0" applyFont="1"/>
    <xf numFmtId="49" fontId="1" fillId="0" borderId="61" xfId="0" applyNumberFormat="1" applyFont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left" wrapText="1" indent="3"/>
    </xf>
    <xf numFmtId="49" fontId="2" fillId="3" borderId="17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6" fillId="6" borderId="0" xfId="0" applyFont="1" applyFill="1"/>
    <xf numFmtId="49" fontId="1" fillId="6" borderId="17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" fontId="1" fillId="6" borderId="54" xfId="0" applyNumberFormat="1" applyFont="1" applyFill="1" applyBorder="1" applyAlignment="1">
      <alignment horizontal="center"/>
    </xf>
    <xf numFmtId="4" fontId="1" fillId="6" borderId="50" xfId="0" applyNumberFormat="1" applyFont="1" applyFill="1" applyBorder="1" applyAlignment="1">
      <alignment horizontal="center"/>
    </xf>
    <xf numFmtId="0" fontId="1" fillId="6" borderId="55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 horizontal="center"/>
    </xf>
    <xf numFmtId="49" fontId="1" fillId="6" borderId="27" xfId="0" applyNumberFormat="1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wrapText="1"/>
    </xf>
    <xf numFmtId="4" fontId="8" fillId="4" borderId="0" xfId="0" applyNumberFormat="1" applyFont="1" applyFill="1"/>
    <xf numFmtId="4" fontId="12" fillId="4" borderId="0" xfId="0" applyNumberFormat="1" applyFont="1" applyFill="1"/>
    <xf numFmtId="4" fontId="2" fillId="5" borderId="50" xfId="0" applyNumberFormat="1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7" borderId="3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/>
    <xf numFmtId="0" fontId="8" fillId="0" borderId="50" xfId="0" applyFont="1" applyBorder="1" applyAlignment="1">
      <alignment horizontal="center"/>
    </xf>
    <xf numFmtId="0" fontId="8" fillId="0" borderId="5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5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0" xfId="0" applyFont="1" applyBorder="1"/>
    <xf numFmtId="0" fontId="6" fillId="0" borderId="50" xfId="0" applyFont="1" applyBorder="1" applyAlignment="1"/>
    <xf numFmtId="0" fontId="8" fillId="0" borderId="62" xfId="0" applyFont="1" applyBorder="1" applyAlignment="1"/>
    <xf numFmtId="0" fontId="8" fillId="0" borderId="0" xfId="0" applyFont="1" applyAlignment="1"/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6" fillId="0" borderId="50" xfId="0" applyNumberFormat="1" applyFont="1" applyBorder="1"/>
    <xf numFmtId="0" fontId="6" fillId="0" borderId="63" xfId="0" applyFont="1" applyBorder="1"/>
    <xf numFmtId="0" fontId="1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1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4" fillId="0" borderId="0" xfId="2" applyNumberFormat="1" applyFont="1" applyBorder="1" applyAlignment="1"/>
    <xf numFmtId="0" fontId="6" fillId="0" borderId="50" xfId="2" applyFont="1" applyBorder="1" applyAlignment="1">
      <alignment horizontal="center" vertical="center" wrapText="1"/>
    </xf>
    <xf numFmtId="4" fontId="6" fillId="0" borderId="50" xfId="2" applyNumberFormat="1" applyFont="1" applyBorder="1" applyAlignment="1">
      <alignment horizontal="center" vertical="center" wrapText="1"/>
    </xf>
    <xf numFmtId="0" fontId="19" fillId="0" borderId="50" xfId="2" applyFont="1" applyBorder="1" applyAlignment="1">
      <alignment horizontal="center" vertical="center" wrapText="1"/>
    </xf>
    <xf numFmtId="4" fontId="20" fillId="0" borderId="50" xfId="2" applyNumberFormat="1" applyFont="1" applyBorder="1" applyAlignment="1">
      <alignment horizontal="right" wrapText="1"/>
    </xf>
    <xf numFmtId="0" fontId="20" fillId="0" borderId="0" xfId="2" applyFont="1" applyAlignment="1">
      <alignment horizontal="center" vertical="center" wrapText="1"/>
    </xf>
    <xf numFmtId="0" fontId="20" fillId="0" borderId="50" xfId="2" applyFont="1" applyBorder="1" applyAlignment="1">
      <alignment horizontal="center" vertical="center" wrapText="1"/>
    </xf>
    <xf numFmtId="4" fontId="6" fillId="0" borderId="50" xfId="2" applyNumberFormat="1" applyFont="1" applyBorder="1" applyAlignment="1">
      <alignment horizontal="right" wrapText="1"/>
    </xf>
    <xf numFmtId="0" fontId="11" fillId="0" borderId="50" xfId="2" applyFont="1" applyBorder="1" applyAlignment="1">
      <alignment horizontal="center" wrapText="1"/>
    </xf>
    <xf numFmtId="4" fontId="11" fillId="0" borderId="50" xfId="2" applyNumberFormat="1" applyFont="1" applyBorder="1" applyAlignment="1">
      <alignment horizontal="right" wrapText="1"/>
    </xf>
    <xf numFmtId="0" fontId="11" fillId="0" borderId="0" xfId="2" applyFont="1" applyAlignment="1">
      <alignment horizontal="center" vertical="center" wrapText="1"/>
    </xf>
    <xf numFmtId="0" fontId="1" fillId="0" borderId="8" xfId="2" applyNumberFormat="1" applyFont="1" applyBorder="1" applyAlignment="1"/>
    <xf numFmtId="0" fontId="1" fillId="0" borderId="0" xfId="2" applyNumberFormat="1" applyFont="1" applyBorder="1" applyAlignment="1"/>
    <xf numFmtId="0" fontId="6" fillId="0" borderId="0" xfId="2" applyFont="1" applyBorder="1" applyAlignment="1">
      <alignment horizontal="center" vertical="center" wrapText="1"/>
    </xf>
    <xf numFmtId="0" fontId="16" fillId="0" borderId="1" xfId="2" applyNumberFormat="1" applyFont="1" applyBorder="1" applyAlignment="1">
      <alignment vertical="top"/>
    </xf>
    <xf numFmtId="0" fontId="7" fillId="0" borderId="0" xfId="2" applyNumberFormat="1" applyFont="1" applyBorder="1" applyAlignment="1">
      <alignment vertical="top"/>
    </xf>
    <xf numFmtId="0" fontId="6" fillId="0" borderId="0" xfId="2" applyFont="1" applyAlignment="1">
      <alignment horizontal="left" vertical="center" wrapText="1"/>
    </xf>
    <xf numFmtId="0" fontId="17" fillId="0" borderId="4" xfId="2" applyFont="1" applyBorder="1" applyAlignment="1">
      <alignment horizontal="center" vertical="center" wrapText="1"/>
    </xf>
    <xf numFmtId="164" fontId="6" fillId="0" borderId="50" xfId="2" applyNumberFormat="1" applyFont="1" applyBorder="1" applyAlignment="1">
      <alignment horizontal="right" wrapText="1"/>
    </xf>
    <xf numFmtId="0" fontId="6" fillId="0" borderId="50" xfId="2" applyFont="1" applyBorder="1" applyAlignment="1">
      <alignment horizontal="right" wrapText="1"/>
    </xf>
    <xf numFmtId="0" fontId="11" fillId="0" borderId="50" xfId="2" applyFont="1" applyBorder="1" applyAlignment="1">
      <alignment horizontal="center" vertical="center" wrapText="1"/>
    </xf>
    <xf numFmtId="164" fontId="11" fillId="0" borderId="50" xfId="2" applyNumberFormat="1" applyFont="1" applyBorder="1" applyAlignment="1">
      <alignment horizontal="right" wrapText="1"/>
    </xf>
    <xf numFmtId="164" fontId="11" fillId="0" borderId="50" xfId="2" applyNumberFormat="1" applyFont="1" applyBorder="1" applyAlignment="1">
      <alignment horizontal="center" vertical="top" wrapText="1"/>
    </xf>
    <xf numFmtId="0" fontId="6" fillId="0" borderId="0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50" xfId="0" applyFont="1" applyBorder="1" applyAlignment="1">
      <alignment wrapText="1"/>
    </xf>
    <xf numFmtId="0" fontId="22" fillId="0" borderId="50" xfId="0" applyFont="1" applyBorder="1"/>
    <xf numFmtId="0" fontId="22" fillId="0" borderId="50" xfId="0" applyFont="1" applyBorder="1" applyAlignment="1"/>
    <xf numFmtId="0" fontId="22" fillId="0" borderId="0" xfId="0" applyFont="1"/>
    <xf numFmtId="4" fontId="6" fillId="0" borderId="50" xfId="0" applyNumberFormat="1" applyFont="1" applyBorder="1" applyAlignment="1"/>
    <xf numFmtId="4" fontId="22" fillId="0" borderId="50" xfId="0" applyNumberFormat="1" applyFont="1" applyBorder="1" applyAlignment="1"/>
    <xf numFmtId="0" fontId="22" fillId="0" borderId="0" xfId="0" applyFont="1" applyAlignment="1"/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0" fontId="6" fillId="0" borderId="50" xfId="0" applyNumberFormat="1" applyFont="1" applyBorder="1" applyAlignment="1"/>
    <xf numFmtId="4" fontId="22" fillId="0" borderId="67" xfId="0" applyNumberFormat="1" applyFont="1" applyBorder="1" applyAlignment="1"/>
    <xf numFmtId="49" fontId="23" fillId="0" borderId="54" xfId="0" applyNumberFormat="1" applyFont="1" applyBorder="1" applyAlignment="1">
      <alignment horizontal="center"/>
    </xf>
    <xf numFmtId="4" fontId="24" fillId="0" borderId="50" xfId="0" applyNumberFormat="1" applyFon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8" fillId="3" borderId="0" xfId="0" applyFont="1" applyFill="1"/>
    <xf numFmtId="49" fontId="24" fillId="0" borderId="54" xfId="0" applyNumberFormat="1" applyFont="1" applyBorder="1" applyAlignment="1">
      <alignment horizontal="center"/>
    </xf>
    <xf numFmtId="4" fontId="24" fillId="4" borderId="50" xfId="0" applyNumberFormat="1" applyFont="1" applyFill="1" applyBorder="1" applyAlignment="1">
      <alignment horizontal="center"/>
    </xf>
    <xf numFmtId="4" fontId="8" fillId="4" borderId="50" xfId="0" applyNumberFormat="1" applyFont="1" applyFill="1" applyBorder="1"/>
    <xf numFmtId="4" fontId="1" fillId="9" borderId="5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9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6" fillId="4" borderId="0" xfId="0" applyNumberFormat="1" applyFont="1" applyFill="1"/>
    <xf numFmtId="0" fontId="6" fillId="0" borderId="0" xfId="0" applyNumberFormat="1" applyFont="1"/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1" fillId="0" borderId="0" xfId="0" applyNumberFormat="1" applyFont="1"/>
    <xf numFmtId="0" fontId="1" fillId="0" borderId="3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0" fontId="2" fillId="5" borderId="17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0" fontId="6" fillId="5" borderId="0" xfId="0" applyNumberFormat="1" applyFont="1" applyFill="1"/>
    <xf numFmtId="0" fontId="1" fillId="3" borderId="17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54" xfId="0" applyNumberFormat="1" applyFont="1" applyFill="1" applyBorder="1" applyAlignment="1">
      <alignment horizontal="center"/>
    </xf>
    <xf numFmtId="0" fontId="6" fillId="3" borderId="0" xfId="0" applyNumberFormat="1" applyFont="1" applyFill="1"/>
    <xf numFmtId="0" fontId="24" fillId="0" borderId="54" xfId="0" applyNumberFormat="1" applyFont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6" fillId="6" borderId="0" xfId="0" applyNumberFormat="1" applyFont="1" applyFill="1"/>
    <xf numFmtId="0" fontId="1" fillId="6" borderId="17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54" xfId="0" applyNumberFormat="1" applyFont="1" applyFill="1" applyBorder="1" applyAlignment="1">
      <alignment horizontal="center"/>
    </xf>
    <xf numFmtId="0" fontId="1" fillId="6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6" borderId="27" xfId="0" applyNumberFormat="1" applyFont="1" applyFill="1" applyBorder="1" applyAlignment="1">
      <alignment horizontal="center"/>
    </xf>
    <xf numFmtId="0" fontId="1" fillId="6" borderId="10" xfId="0" applyNumberFormat="1" applyFont="1" applyFill="1" applyBorder="1" applyAlignment="1">
      <alignment horizontal="center"/>
    </xf>
    <xf numFmtId="0" fontId="8" fillId="4" borderId="0" xfId="0" applyNumberFormat="1" applyFont="1" applyFill="1"/>
    <xf numFmtId="0" fontId="1" fillId="3" borderId="19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" fontId="1" fillId="0" borderId="0" xfId="1" applyNumberFormat="1" applyFont="1" applyBorder="1" applyAlignment="1">
      <alignment horizontal="left"/>
    </xf>
    <xf numFmtId="4" fontId="8" fillId="7" borderId="50" xfId="0" applyNumberFormat="1" applyFont="1" applyFill="1" applyBorder="1"/>
    <xf numFmtId="49" fontId="1" fillId="0" borderId="8" xfId="2" applyNumberFormat="1" applyFont="1" applyBorder="1" applyAlignment="1"/>
    <xf numFmtId="0" fontId="17" fillId="0" borderId="50" xfId="2" applyFont="1" applyBorder="1" applyAlignment="1">
      <alignment horizontal="left" vertical="center" wrapText="1"/>
    </xf>
    <xf numFmtId="0" fontId="17" fillId="0" borderId="4" xfId="2" applyFont="1" applyBorder="1" applyAlignment="1">
      <alignment horizontal="left" vertical="center" wrapText="1"/>
    </xf>
    <xf numFmtId="14" fontId="6" fillId="0" borderId="50" xfId="2" applyNumberFormat="1" applyFont="1" applyBorder="1" applyAlignment="1">
      <alignment horizontal="left" vertical="center" wrapText="1"/>
    </xf>
    <xf numFmtId="0" fontId="6" fillId="7" borderId="50" xfId="2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23" fillId="0" borderId="51" xfId="0" applyNumberFormat="1" applyFont="1" applyFill="1" applyBorder="1" applyAlignment="1">
      <alignment horizontal="center"/>
    </xf>
    <xf numFmtId="4" fontId="8" fillId="4" borderId="52" xfId="0" applyNumberFormat="1" applyFont="1" applyFill="1" applyBorder="1"/>
    <xf numFmtId="4" fontId="8" fillId="4" borderId="53" xfId="0" applyNumberFormat="1" applyFont="1" applyFill="1" applyBorder="1"/>
    <xf numFmtId="4" fontId="8" fillId="4" borderId="55" xfId="0" applyNumberFormat="1" applyFont="1" applyFill="1" applyBorder="1"/>
    <xf numFmtId="49" fontId="23" fillId="0" borderId="56" xfId="0" applyNumberFormat="1" applyFont="1" applyFill="1" applyBorder="1" applyAlignment="1">
      <alignment horizontal="center"/>
    </xf>
    <xf numFmtId="4" fontId="8" fillId="4" borderId="57" xfId="0" applyNumberFormat="1" applyFont="1" applyFill="1" applyBorder="1"/>
    <xf numFmtId="4" fontId="8" fillId="4" borderId="58" xfId="0" applyNumberFormat="1" applyFont="1" applyFill="1" applyBorder="1"/>
    <xf numFmtId="49" fontId="1" fillId="0" borderId="1" xfId="1" applyNumberFormat="1" applyFont="1" applyBorder="1" applyAlignment="1">
      <alignment horizontal="center" vertical="top"/>
    </xf>
    <xf numFmtId="49" fontId="1" fillId="0" borderId="13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6" fillId="0" borderId="50" xfId="2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4" fontId="1" fillId="0" borderId="5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/>
    <xf numFmtId="0" fontId="1" fillId="0" borderId="0" xfId="1" applyNumberFormat="1" applyFont="1" applyBorder="1" applyAlignment="1">
      <alignment horizontal="left"/>
    </xf>
    <xf numFmtId="0" fontId="6" fillId="0" borderId="50" xfId="2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49" fontId="25" fillId="0" borderId="37" xfId="0" applyNumberFormat="1" applyFont="1" applyFill="1" applyBorder="1" applyAlignment="1">
      <alignment horizontal="center"/>
    </xf>
    <xf numFmtId="4" fontId="28" fillId="10" borderId="71" xfId="3" applyNumberFormat="1" applyProtection="1">
      <alignment horizontal="right" vertical="top" shrinkToFit="1"/>
    </xf>
    <xf numFmtId="4" fontId="6" fillId="0" borderId="50" xfId="2" applyNumberFormat="1" applyFont="1" applyFill="1" applyBorder="1" applyAlignment="1">
      <alignment horizontal="right" wrapText="1"/>
    </xf>
    <xf numFmtId="49" fontId="29" fillId="0" borderId="8" xfId="0" applyNumberFormat="1" applyFont="1" applyBorder="1" applyAlignment="1"/>
    <xf numFmtId="0" fontId="30" fillId="0" borderId="0" xfId="0" applyFont="1" applyAlignment="1"/>
    <xf numFmtId="2" fontId="6" fillId="0" borderId="50" xfId="0" applyNumberFormat="1" applyFont="1" applyBorder="1" applyAlignment="1"/>
    <xf numFmtId="0" fontId="6" fillId="4" borderId="0" xfId="0" applyFont="1" applyFill="1" applyAlignment="1"/>
    <xf numFmtId="4" fontId="28" fillId="4" borderId="71" xfId="3" applyNumberFormat="1" applyFill="1" applyProtection="1">
      <alignment horizontal="right" vertical="top" shrinkToFit="1"/>
    </xf>
    <xf numFmtId="0" fontId="17" fillId="0" borderId="50" xfId="0" applyFont="1" applyBorder="1" applyAlignment="1"/>
    <xf numFmtId="0" fontId="17" fillId="0" borderId="4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2" fontId="22" fillId="0" borderId="50" xfId="0" applyNumberFormat="1" applyFont="1" applyBorder="1" applyAlignment="1"/>
    <xf numFmtId="0" fontId="17" fillId="0" borderId="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3" fillId="0" borderId="4" xfId="0" applyFont="1" applyBorder="1" applyAlignment="1">
      <alignment horizontal="left"/>
    </xf>
    <xf numFmtId="0" fontId="31" fillId="0" borderId="4" xfId="0" applyFont="1" applyBorder="1" applyAlignment="1"/>
    <xf numFmtId="0" fontId="31" fillId="0" borderId="11" xfId="0" applyFont="1" applyBorder="1" applyAlignment="1"/>
    <xf numFmtId="4" fontId="6" fillId="0" borderId="0" xfId="0" applyNumberFormat="1" applyFont="1" applyAlignment="1"/>
    <xf numFmtId="4" fontId="34" fillId="4" borderId="0" xfId="3" applyNumberFormat="1" applyFont="1" applyFill="1" applyBorder="1" applyProtection="1">
      <alignment horizontal="right" vertical="top" shrinkToFit="1"/>
    </xf>
    <xf numFmtId="4" fontId="29" fillId="4" borderId="0" xfId="0" applyNumberFormat="1" applyFont="1" applyFill="1" applyBorder="1" applyAlignment="1"/>
    <xf numFmtId="0" fontId="16" fillId="0" borderId="8" xfId="0" applyNumberFormat="1" applyFont="1" applyBorder="1" applyAlignment="1"/>
    <xf numFmtId="0" fontId="16" fillId="0" borderId="0" xfId="0" applyNumberFormat="1" applyFont="1" applyBorder="1" applyAlignment="1"/>
    <xf numFmtId="4" fontId="22" fillId="0" borderId="52" xfId="0" applyNumberFormat="1" applyFont="1" applyBorder="1" applyAlignment="1"/>
    <xf numFmtId="4" fontId="11" fillId="0" borderId="0" xfId="0" applyNumberFormat="1" applyFont="1" applyAlignment="1"/>
    <xf numFmtId="0" fontId="6" fillId="0" borderId="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4" xfId="0" quotePrefix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" fontId="22" fillId="0" borderId="50" xfId="0" applyNumberFormat="1" applyFont="1" applyBorder="1" applyAlignment="1"/>
    <xf numFmtId="4" fontId="35" fillId="0" borderId="71" xfId="3" applyNumberFormat="1" applyFont="1" applyFill="1" applyAlignment="1" applyProtection="1">
      <alignment horizontal="center" shrinkToFit="1"/>
    </xf>
    <xf numFmtId="0" fontId="11" fillId="0" borderId="50" xfId="0" applyFont="1" applyBorder="1"/>
    <xf numFmtId="0" fontId="31" fillId="0" borderId="50" xfId="0" applyFont="1" applyBorder="1"/>
    <xf numFmtId="0" fontId="17" fillId="0" borderId="50" xfId="0" applyFont="1" applyBorder="1"/>
    <xf numFmtId="0" fontId="31" fillId="0" borderId="4" xfId="0" applyFont="1" applyBorder="1" applyAlignment="1">
      <alignment horizontal="left"/>
    </xf>
    <xf numFmtId="0" fontId="6" fillId="0" borderId="1" xfId="0" applyFont="1" applyBorder="1" applyAlignment="1"/>
    <xf numFmtId="4" fontId="1" fillId="0" borderId="1" xfId="3" applyNumberFormat="1" applyFont="1" applyFill="1" applyBorder="1" applyAlignment="1" applyProtection="1">
      <alignment horizontal="center" shrinkToFit="1"/>
    </xf>
    <xf numFmtId="4" fontId="1" fillId="0" borderId="2" xfId="3" applyNumberFormat="1" applyFont="1" applyFill="1" applyBorder="1" applyAlignment="1" applyProtection="1">
      <alignment horizontal="center" shrinkToFit="1"/>
    </xf>
    <xf numFmtId="1" fontId="31" fillId="0" borderId="50" xfId="0" applyNumberFormat="1" applyFont="1" applyBorder="1"/>
    <xf numFmtId="1" fontId="6" fillId="0" borderId="50" xfId="0" applyNumberFormat="1" applyFont="1" applyBorder="1"/>
    <xf numFmtId="0" fontId="29" fillId="0" borderId="8" xfId="0" applyNumberFormat="1" applyFont="1" applyBorder="1" applyAlignment="1"/>
    <xf numFmtId="0" fontId="29" fillId="0" borderId="0" xfId="0" applyNumberFormat="1" applyFont="1" applyBorder="1" applyAlignment="1"/>
    <xf numFmtId="0" fontId="12" fillId="0" borderId="50" xfId="0" applyFont="1" applyBorder="1" applyAlignment="1">
      <alignment wrapText="1"/>
    </xf>
    <xf numFmtId="4" fontId="11" fillId="0" borderId="50" xfId="0" applyNumberFormat="1" applyFont="1" applyBorder="1" applyAlignment="1"/>
    <xf numFmtId="2" fontId="6" fillId="0" borderId="50" xfId="0" applyNumberFormat="1" applyFont="1" applyBorder="1" applyAlignment="1">
      <alignment horizontal="center"/>
    </xf>
    <xf numFmtId="2" fontId="6" fillId="0" borderId="5" xfId="0" applyNumberFormat="1" applyFont="1" applyBorder="1" applyAlignment="1"/>
    <xf numFmtId="0" fontId="6" fillId="0" borderId="11" xfId="0" applyFont="1" applyBorder="1" applyAlignment="1"/>
    <xf numFmtId="4" fontId="29" fillId="0" borderId="71" xfId="3" applyNumberFormat="1" applyFont="1" applyFill="1" applyAlignment="1" applyProtection="1">
      <alignment horizontal="center" shrinkToFit="1"/>
    </xf>
    <xf numFmtId="4" fontId="36" fillId="0" borderId="71" xfId="3" applyNumberFormat="1" applyFont="1" applyFill="1" applyAlignment="1" applyProtection="1">
      <alignment horizontal="center" shrinkToFit="1"/>
    </xf>
    <xf numFmtId="4" fontId="0" fillId="0" borderId="0" xfId="0" applyNumberFormat="1"/>
    <xf numFmtId="49" fontId="1" fillId="0" borderId="1" xfId="1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37" fillId="0" borderId="54" xfId="0" applyNumberFormat="1" applyFont="1" applyFill="1" applyBorder="1" applyAlignment="1">
      <alignment horizontal="center"/>
    </xf>
    <xf numFmtId="4" fontId="35" fillId="0" borderId="71" xfId="3" applyNumberFormat="1" applyFont="1" applyFill="1" applyProtection="1">
      <alignment horizontal="right" vertical="top" shrinkToFit="1"/>
    </xf>
    <xf numFmtId="0" fontId="38" fillId="0" borderId="5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68" xfId="0" applyFont="1" applyFill="1" applyBorder="1"/>
    <xf numFmtId="0" fontId="31" fillId="0" borderId="72" xfId="0" applyFont="1" applyBorder="1"/>
    <xf numFmtId="0" fontId="29" fillId="0" borderId="72" xfId="0" applyFont="1" applyFill="1" applyBorder="1"/>
    <xf numFmtId="0" fontId="38" fillId="0" borderId="72" xfId="0" applyFont="1" applyFill="1" applyBorder="1" applyAlignment="1">
      <alignment vertical="center" wrapText="1"/>
    </xf>
    <xf numFmtId="0" fontId="6" fillId="0" borderId="72" xfId="0" applyFont="1" applyFill="1" applyBorder="1" applyAlignment="1"/>
    <xf numFmtId="0" fontId="6" fillId="0" borderId="72" xfId="0" applyFont="1" applyBorder="1" applyAlignment="1"/>
    <xf numFmtId="0" fontId="31" fillId="0" borderId="68" xfId="0" applyFont="1" applyBorder="1"/>
    <xf numFmtId="0" fontId="38" fillId="0" borderId="68" xfId="0" applyFont="1" applyFill="1" applyBorder="1" applyAlignment="1">
      <alignment vertical="center" wrapText="1"/>
    </xf>
    <xf numFmtId="0" fontId="6" fillId="0" borderId="68" xfId="0" applyFont="1" applyFill="1" applyBorder="1" applyAlignment="1"/>
    <xf numFmtId="0" fontId="6" fillId="0" borderId="68" xfId="0" applyFont="1" applyBorder="1" applyAlignment="1"/>
    <xf numFmtId="2" fontId="6" fillId="0" borderId="68" xfId="0" applyNumberFormat="1" applyFont="1" applyBorder="1" applyAlignment="1"/>
    <xf numFmtId="0" fontId="29" fillId="0" borderId="50" xfId="0" applyFont="1" applyFill="1" applyBorder="1"/>
    <xf numFmtId="0" fontId="38" fillId="0" borderId="50" xfId="0" applyFont="1" applyFill="1" applyBorder="1" applyAlignment="1">
      <alignment vertical="center" wrapText="1"/>
    </xf>
    <xf numFmtId="0" fontId="6" fillId="0" borderId="50" xfId="0" applyFont="1" applyFill="1" applyBorder="1" applyAlignment="1"/>
    <xf numFmtId="0" fontId="29" fillId="0" borderId="50" xfId="0" applyFont="1" applyBorder="1"/>
    <xf numFmtId="0" fontId="38" fillId="0" borderId="50" xfId="0" applyFont="1" applyBorder="1" applyAlignment="1">
      <alignment vertical="center" wrapText="1"/>
    </xf>
    <xf numFmtId="0" fontId="29" fillId="0" borderId="11" xfId="0" applyFont="1" applyBorder="1"/>
    <xf numFmtId="4" fontId="1" fillId="0" borderId="71" xfId="3" applyNumberFormat="1" applyFont="1" applyFill="1" applyAlignment="1" applyProtection="1">
      <alignment horizontal="center" shrinkToFit="1"/>
    </xf>
    <xf numFmtId="2" fontId="13" fillId="0" borderId="0" xfId="0" applyNumberFormat="1" applyFont="1" applyAlignment="1">
      <alignment horizontal="center" wrapText="1"/>
    </xf>
    <xf numFmtId="4" fontId="38" fillId="0" borderId="50" xfId="0" applyNumberFormat="1" applyFont="1" applyBorder="1" applyAlignment="1">
      <alignment horizontal="center" vertical="center" wrapText="1"/>
    </xf>
    <xf numFmtId="0" fontId="29" fillId="7" borderId="50" xfId="0" applyFont="1" applyFill="1" applyBorder="1"/>
    <xf numFmtId="4" fontId="38" fillId="7" borderId="50" xfId="0" applyNumberFormat="1" applyFont="1" applyFill="1" applyBorder="1" applyAlignment="1">
      <alignment vertical="center" wrapText="1"/>
    </xf>
    <xf numFmtId="0" fontId="38" fillId="7" borderId="50" xfId="0" applyFont="1" applyFill="1" applyBorder="1" applyAlignment="1">
      <alignment vertical="center" wrapText="1"/>
    </xf>
    <xf numFmtId="4" fontId="38" fillId="0" borderId="50" xfId="0" applyNumberFormat="1" applyFont="1" applyBorder="1" applyAlignment="1">
      <alignment vertical="center" wrapText="1"/>
    </xf>
    <xf numFmtId="3" fontId="38" fillId="0" borderId="50" xfId="0" applyNumberFormat="1" applyFont="1" applyBorder="1" applyAlignment="1">
      <alignment vertical="center" wrapText="1"/>
    </xf>
    <xf numFmtId="2" fontId="38" fillId="0" borderId="50" xfId="0" applyNumberFormat="1" applyFont="1" applyBorder="1" applyAlignment="1">
      <alignment vertical="center" wrapText="1"/>
    </xf>
    <xf numFmtId="3" fontId="38" fillId="7" borderId="50" xfId="0" applyNumberFormat="1" applyFont="1" applyFill="1" applyBorder="1" applyAlignment="1">
      <alignment vertical="center" wrapText="1"/>
    </xf>
    <xf numFmtId="0" fontId="22" fillId="0" borderId="0" xfId="0" applyFont="1" applyBorder="1" applyAlignment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/>
    <xf numFmtId="3" fontId="38" fillId="0" borderId="50" xfId="0" applyNumberFormat="1" applyFont="1" applyBorder="1"/>
    <xf numFmtId="0" fontId="29" fillId="0" borderId="4" xfId="0" applyFont="1" applyBorder="1"/>
    <xf numFmtId="0" fontId="31" fillId="0" borderId="50" xfId="0" applyFont="1" applyBorder="1" applyAlignment="1">
      <alignment horizontal="left"/>
    </xf>
    <xf numFmtId="1" fontId="31" fillId="0" borderId="50" xfId="0" applyNumberFormat="1" applyFont="1" applyBorder="1" applyAlignment="1">
      <alignment horizontal="left"/>
    </xf>
    <xf numFmtId="2" fontId="6" fillId="0" borderId="0" xfId="0" applyNumberFormat="1" applyFont="1" applyAlignment="1"/>
    <xf numFmtId="49" fontId="1" fillId="0" borderId="5" xfId="1" applyNumberFormat="1" applyFont="1" applyBorder="1" applyAlignment="1">
      <alignment horizontal="center" wrapText="1"/>
    </xf>
    <xf numFmtId="0" fontId="1" fillId="0" borderId="7" xfId="1" applyNumberFormat="1" applyFont="1" applyBorder="1" applyAlignment="1">
      <alignment horizontal="left" wrapText="1" indent="4"/>
    </xf>
    <xf numFmtId="0" fontId="1" fillId="0" borderId="0" xfId="1" applyNumberFormat="1" applyFont="1" applyBorder="1" applyAlignment="1">
      <alignment horizontal="left" indent="4"/>
    </xf>
    <xf numFmtId="49" fontId="1" fillId="0" borderId="0" xfId="1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4" fontId="22" fillId="0" borderId="0" xfId="0" applyNumberFormat="1" applyFont="1" applyAlignment="1"/>
    <xf numFmtId="0" fontId="6" fillId="0" borderId="50" xfId="2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top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2" fillId="2" borderId="17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 indent="1"/>
    </xf>
    <xf numFmtId="0" fontId="1" fillId="0" borderId="5" xfId="0" applyNumberFormat="1" applyFont="1" applyBorder="1" applyAlignment="1">
      <alignment horizontal="left" indent="1"/>
    </xf>
    <xf numFmtId="0" fontId="5" fillId="0" borderId="8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7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indent="1"/>
    </xf>
    <xf numFmtId="0" fontId="1" fillId="0" borderId="19" xfId="0" applyNumberFormat="1" applyFont="1" applyBorder="1" applyAlignment="1">
      <alignment horizontal="left" indent="2"/>
    </xf>
    <xf numFmtId="0" fontId="1" fillId="0" borderId="1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9" borderId="50" xfId="0" applyNumberFormat="1" applyFont="1" applyFill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61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3"/>
    </xf>
    <xf numFmtId="0" fontId="1" fillId="0" borderId="1" xfId="0" applyNumberFormat="1" applyFont="1" applyBorder="1" applyAlignment="1">
      <alignment horizontal="left" indent="3"/>
    </xf>
    <xf numFmtId="4" fontId="1" fillId="8" borderId="50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>
      <alignment horizontal="left" indent="3"/>
    </xf>
    <xf numFmtId="0" fontId="1" fillId="4" borderId="8" xfId="0" applyNumberFormat="1" applyFont="1" applyFill="1" applyBorder="1" applyAlignment="1">
      <alignment horizontal="left" indent="3"/>
    </xf>
    <xf numFmtId="0" fontId="1" fillId="0" borderId="27" xfId="0" applyNumberFormat="1" applyFont="1" applyBorder="1" applyAlignment="1">
      <alignment horizontal="left" wrapText="1" indent="3"/>
    </xf>
    <xf numFmtId="0" fontId="1" fillId="0" borderId="8" xfId="0" applyNumberFormat="1" applyFont="1" applyBorder="1" applyAlignment="1">
      <alignment horizontal="left" indent="3"/>
    </xf>
    <xf numFmtId="0" fontId="2" fillId="5" borderId="17" xfId="0" applyNumberFormat="1" applyFont="1" applyFill="1" applyBorder="1" applyAlignment="1">
      <alignment horizontal="left"/>
    </xf>
    <xf numFmtId="0" fontId="2" fillId="5" borderId="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2"/>
    </xf>
    <xf numFmtId="0" fontId="1" fillId="3" borderId="5" xfId="0" applyNumberFormat="1" applyFont="1" applyFill="1" applyBorder="1" applyAlignment="1">
      <alignment horizontal="left" indent="2"/>
    </xf>
    <xf numFmtId="0" fontId="1" fillId="0" borderId="27" xfId="0" applyNumberFormat="1" applyFont="1" applyBorder="1" applyAlignment="1"/>
    <xf numFmtId="0" fontId="1" fillId="0" borderId="8" xfId="0" applyNumberFormat="1" applyFont="1" applyBorder="1" applyAlignment="1"/>
    <xf numFmtId="0" fontId="1" fillId="0" borderId="17" xfId="0" applyNumberFormat="1" applyFont="1" applyBorder="1" applyAlignment="1"/>
    <xf numFmtId="0" fontId="1" fillId="0" borderId="5" xfId="0" applyNumberFormat="1" applyFont="1" applyBorder="1" applyAlignment="1"/>
    <xf numFmtId="0" fontId="1" fillId="0" borderId="27" xfId="0" applyNumberFormat="1" applyFont="1" applyBorder="1" applyAlignment="1">
      <alignment wrapText="1"/>
    </xf>
    <xf numFmtId="0" fontId="1" fillId="6" borderId="27" xfId="0" applyNumberFormat="1" applyFont="1" applyFill="1" applyBorder="1" applyAlignment="1">
      <alignment horizontal="left" wrapText="1" indent="4"/>
    </xf>
    <xf numFmtId="0" fontId="1" fillId="6" borderId="8" xfId="0" applyNumberFormat="1" applyFont="1" applyFill="1" applyBorder="1" applyAlignment="1">
      <alignment horizontal="left" indent="4"/>
    </xf>
    <xf numFmtId="0" fontId="1" fillId="3" borderId="17" xfId="0" applyNumberFormat="1" applyFont="1" applyFill="1" applyBorder="1" applyAlignment="1">
      <alignment horizontal="left" wrapText="1" indent="1"/>
    </xf>
    <xf numFmtId="0" fontId="1" fillId="3" borderId="5" xfId="0" applyNumberFormat="1" applyFont="1" applyFill="1" applyBorder="1" applyAlignment="1">
      <alignment horizontal="left" indent="1"/>
    </xf>
    <xf numFmtId="0" fontId="1" fillId="6" borderId="17" xfId="0" applyNumberFormat="1" applyFont="1" applyFill="1" applyBorder="1" applyAlignment="1">
      <alignment horizontal="left" wrapText="1" indent="3"/>
    </xf>
    <xf numFmtId="0" fontId="1" fillId="6" borderId="5" xfId="0" applyNumberFormat="1" applyFont="1" applyFill="1" applyBorder="1" applyAlignment="1">
      <alignment horizontal="left" indent="3"/>
    </xf>
    <xf numFmtId="0" fontId="1" fillId="3" borderId="27" xfId="0" applyNumberFormat="1" applyFont="1" applyFill="1" applyBorder="1" applyAlignment="1">
      <alignment horizontal="left" wrapText="1" indent="3"/>
    </xf>
    <xf numFmtId="0" fontId="1" fillId="3" borderId="8" xfId="0" applyNumberFormat="1" applyFont="1" applyFill="1" applyBorder="1" applyAlignment="1">
      <alignment horizontal="left" indent="3"/>
    </xf>
    <xf numFmtId="0" fontId="1" fillId="3" borderId="17" xfId="0" applyNumberFormat="1" applyFont="1" applyFill="1" applyBorder="1" applyAlignment="1">
      <alignment horizontal="left" wrapText="1" indent="3"/>
    </xf>
    <xf numFmtId="0" fontId="1" fillId="3" borderId="5" xfId="0" applyNumberFormat="1" applyFont="1" applyFill="1" applyBorder="1" applyAlignment="1">
      <alignment horizontal="left" indent="3"/>
    </xf>
    <xf numFmtId="0" fontId="1" fillId="6" borderId="17" xfId="0" applyNumberFormat="1" applyFont="1" applyFill="1" applyBorder="1" applyAlignment="1">
      <alignment horizontal="left" wrapText="1" indent="4"/>
    </xf>
    <xf numFmtId="0" fontId="1" fillId="6" borderId="5" xfId="0" applyNumberFormat="1" applyFont="1" applyFill="1" applyBorder="1" applyAlignment="1">
      <alignment horizontal="left" indent="4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5" xfId="0" applyNumberFormat="1" applyFont="1" applyFill="1" applyBorder="1" applyAlignment="1">
      <alignment horizontal="center" wrapText="1"/>
    </xf>
    <xf numFmtId="0" fontId="1" fillId="3" borderId="18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3" borderId="17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2" fillId="3" borderId="17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left" wrapText="1" indent="2"/>
    </xf>
    <xf numFmtId="0" fontId="1" fillId="0" borderId="29" xfId="0" applyNumberFormat="1" applyFont="1" applyBorder="1" applyAlignment="1">
      <alignment horizontal="left" indent="2"/>
    </xf>
    <xf numFmtId="0" fontId="1" fillId="6" borderId="27" xfId="0" applyNumberFormat="1" applyFont="1" applyFill="1" applyBorder="1" applyAlignment="1">
      <alignment horizontal="left" wrapText="1" indent="3"/>
    </xf>
    <xf numFmtId="0" fontId="1" fillId="6" borderId="8" xfId="0" applyNumberFormat="1" applyFont="1" applyFill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4"/>
    </xf>
    <xf numFmtId="0" fontId="1" fillId="0" borderId="1" xfId="0" applyNumberFormat="1" applyFont="1" applyBorder="1" applyAlignment="1">
      <alignment horizontal="left" indent="4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3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43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1" fillId="0" borderId="44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justify" vertical="top"/>
    </xf>
    <xf numFmtId="0" fontId="4" fillId="0" borderId="0" xfId="1" applyNumberFormat="1" applyFont="1" applyBorder="1" applyAlignment="1">
      <alignment horizontal="justify" vertical="top"/>
    </xf>
    <xf numFmtId="0" fontId="15" fillId="0" borderId="0" xfId="1" applyNumberFormat="1" applyFont="1" applyBorder="1" applyAlignment="1">
      <alignment horizontal="justify" wrapText="1"/>
    </xf>
    <xf numFmtId="0" fontId="15" fillId="0" borderId="0" xfId="1" applyNumberFormat="1" applyFont="1" applyBorder="1" applyAlignment="1">
      <alignment horizontal="justify"/>
    </xf>
    <xf numFmtId="0" fontId="4" fillId="0" borderId="0" xfId="1" applyNumberFormat="1" applyFont="1" applyBorder="1" applyAlignment="1">
      <alignment horizontal="justify"/>
    </xf>
    <xf numFmtId="0" fontId="1" fillId="0" borderId="41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/>
    </xf>
    <xf numFmtId="49" fontId="1" fillId="0" borderId="8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0" borderId="8" xfId="1" applyNumberFormat="1" applyFont="1" applyBorder="1" applyAlignment="1">
      <alignment horizontal="left"/>
    </xf>
    <xf numFmtId="0" fontId="7" fillId="0" borderId="45" xfId="1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horizontal="center" vertical="top"/>
    </xf>
    <xf numFmtId="0" fontId="7" fillId="0" borderId="46" xfId="1" applyNumberFormat="1" applyFont="1" applyBorder="1" applyAlignment="1">
      <alignment horizontal="center" vertical="top"/>
    </xf>
    <xf numFmtId="4" fontId="1" fillId="0" borderId="3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1" fillId="0" borderId="20" xfId="1" applyNumberFormat="1" applyFont="1" applyBorder="1" applyAlignment="1">
      <alignment horizontal="center"/>
    </xf>
    <xf numFmtId="4" fontId="1" fillId="0" borderId="25" xfId="1" applyNumberFormat="1" applyFont="1" applyBorder="1" applyAlignment="1">
      <alignment horizontal="center"/>
    </xf>
    <xf numFmtId="4" fontId="1" fillId="0" borderId="23" xfId="1" applyNumberFormat="1" applyFont="1" applyBorder="1" applyAlignment="1">
      <alignment horizontal="center"/>
    </xf>
    <xf numFmtId="4" fontId="1" fillId="0" borderId="26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left" wrapText="1" indent="4"/>
    </xf>
    <xf numFmtId="0" fontId="1" fillId="0" borderId="8" xfId="1" applyNumberFormat="1" applyFont="1" applyBorder="1" applyAlignment="1">
      <alignment horizontal="left" indent="4"/>
    </xf>
    <xf numFmtId="4" fontId="1" fillId="0" borderId="4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4" fontId="1" fillId="0" borderId="18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left" wrapText="1" indent="4"/>
    </xf>
    <xf numFmtId="0" fontId="1" fillId="0" borderId="1" xfId="1" applyNumberFormat="1" applyFont="1" applyBorder="1" applyAlignment="1">
      <alignment horizontal="left" indent="4"/>
    </xf>
    <xf numFmtId="0" fontId="1" fillId="0" borderId="20" xfId="1" applyNumberFormat="1" applyFont="1" applyBorder="1" applyAlignment="1">
      <alignment horizontal="left" indent="4"/>
    </xf>
    <xf numFmtId="49" fontId="1" fillId="0" borderId="19" xfId="1" applyNumberFormat="1" applyFont="1" applyBorder="1" applyAlignment="1">
      <alignment horizontal="center"/>
    </xf>
    <xf numFmtId="49" fontId="1" fillId="0" borderId="22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4" fontId="1" fillId="0" borderId="24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/>
    </xf>
    <xf numFmtId="0" fontId="1" fillId="0" borderId="5" xfId="1" applyNumberFormat="1" applyFont="1" applyBorder="1" applyAlignment="1">
      <alignment horizontal="left"/>
    </xf>
    <xf numFmtId="49" fontId="1" fillId="0" borderId="17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60" xfId="1" applyNumberFormat="1" applyFont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49" fontId="1" fillId="0" borderId="7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" fontId="1" fillId="0" borderId="7" xfId="1" applyNumberFormat="1" applyFont="1" applyBorder="1" applyAlignment="1">
      <alignment horizontal="center"/>
    </xf>
    <xf numFmtId="4" fontId="1" fillId="0" borderId="0" xfId="1" applyNumberFormat="1" applyFont="1" applyBorder="1" applyAlignment="1">
      <alignment horizontal="center"/>
    </xf>
    <xf numFmtId="4" fontId="1" fillId="0" borderId="73" xfId="1" applyNumberFormat="1" applyFont="1" applyBorder="1" applyAlignment="1">
      <alignment horizontal="center"/>
    </xf>
    <xf numFmtId="4" fontId="1" fillId="0" borderId="10" xfId="1" applyNumberFormat="1" applyFont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4" fontId="1" fillId="0" borderId="2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3"/>
    </xf>
    <xf numFmtId="0" fontId="1" fillId="0" borderId="5" xfId="1" applyNumberFormat="1" applyFont="1" applyBorder="1" applyAlignment="1">
      <alignment horizontal="left" indent="3"/>
    </xf>
    <xf numFmtId="49" fontId="1" fillId="0" borderId="12" xfId="1" applyNumberFormat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4" fontId="1" fillId="0" borderId="15" xfId="1" applyNumberFormat="1" applyFont="1" applyBorder="1" applyAlignment="1">
      <alignment horizontal="center"/>
    </xf>
    <xf numFmtId="4" fontId="1" fillId="0" borderId="13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/>
    </xf>
    <xf numFmtId="4" fontId="1" fillId="0" borderId="16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2"/>
    </xf>
    <xf numFmtId="0" fontId="1" fillId="0" borderId="5" xfId="1" applyNumberFormat="1" applyFont="1" applyBorder="1" applyAlignment="1">
      <alignment horizontal="left" indent="2"/>
    </xf>
    <xf numFmtId="49" fontId="1" fillId="0" borderId="28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30" xfId="1" applyNumberFormat="1" applyFont="1" applyBorder="1" applyAlignment="1">
      <alignment horizontal="center"/>
    </xf>
    <xf numFmtId="49" fontId="1" fillId="0" borderId="31" xfId="1" applyNumberFormat="1" applyFont="1" applyBorder="1" applyAlignment="1">
      <alignment horizontal="center"/>
    </xf>
    <xf numFmtId="4" fontId="1" fillId="0" borderId="31" xfId="1" applyNumberFormat="1" applyFont="1" applyBorder="1" applyAlignment="1">
      <alignment horizontal="center"/>
    </xf>
    <xf numFmtId="4" fontId="1" fillId="0" borderId="29" xfId="1" applyNumberFormat="1" applyFont="1" applyBorder="1" applyAlignment="1">
      <alignment horizontal="center"/>
    </xf>
    <xf numFmtId="4" fontId="1" fillId="0" borderId="30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1"/>
    </xf>
    <xf numFmtId="0" fontId="1" fillId="0" borderId="5" xfId="1" applyNumberFormat="1" applyFont="1" applyBorder="1" applyAlignment="1">
      <alignment horizontal="left" indent="1"/>
    </xf>
    <xf numFmtId="4" fontId="2" fillId="0" borderId="18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 vertical="top"/>
    </xf>
    <xf numFmtId="49" fontId="1" fillId="0" borderId="11" xfId="1" applyNumberFormat="1" applyFont="1" applyBorder="1" applyAlignment="1">
      <alignment horizontal="center" vertical="top"/>
    </xf>
    <xf numFmtId="49" fontId="1" fillId="0" borderId="3" xfId="1" applyNumberFormat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2" fillId="0" borderId="5" xfId="1" applyNumberFormat="1" applyFont="1" applyBorder="1" applyAlignment="1">
      <alignment horizontal="left"/>
    </xf>
    <xf numFmtId="49" fontId="2" fillId="0" borderId="12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" fontId="24" fillId="0" borderId="15" xfId="1" applyNumberFormat="1" applyFont="1" applyBorder="1" applyAlignment="1">
      <alignment horizontal="center"/>
    </xf>
    <xf numFmtId="4" fontId="24" fillId="0" borderId="13" xfId="1" applyNumberFormat="1" applyFont="1" applyBorder="1" applyAlignment="1">
      <alignment horizontal="center"/>
    </xf>
    <xf numFmtId="4" fontId="24" fillId="0" borderId="14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right"/>
    </xf>
    <xf numFmtId="49" fontId="1" fillId="0" borderId="5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top" wrapText="1"/>
    </xf>
    <xf numFmtId="0" fontId="1" fillId="0" borderId="8" xfId="1" applyNumberFormat="1" applyFont="1" applyBorder="1" applyAlignment="1">
      <alignment horizontal="center" vertical="top" wrapText="1"/>
    </xf>
    <xf numFmtId="0" fontId="1" fillId="0" borderId="9" xfId="1" applyNumberFormat="1" applyFont="1" applyBorder="1" applyAlignment="1">
      <alignment horizontal="center" vertical="top" wrapText="1"/>
    </xf>
    <xf numFmtId="0" fontId="1" fillId="0" borderId="62" xfId="1" applyNumberFormat="1" applyFont="1" applyBorder="1" applyAlignment="1">
      <alignment horizontal="center" vertical="center" wrapText="1"/>
    </xf>
    <xf numFmtId="0" fontId="1" fillId="0" borderId="70" xfId="1" applyNumberFormat="1" applyFont="1" applyBorder="1" applyAlignment="1">
      <alignment horizontal="center" vertical="center" wrapText="1"/>
    </xf>
    <xf numFmtId="0" fontId="1" fillId="0" borderId="68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left" wrapText="1" indent="1"/>
    </xf>
    <xf numFmtId="0" fontId="1" fillId="0" borderId="18" xfId="1" applyNumberFormat="1" applyFont="1" applyBorder="1" applyAlignment="1">
      <alignment horizontal="left" wrapText="1" indent="1"/>
    </xf>
    <xf numFmtId="0" fontId="6" fillId="0" borderId="0" xfId="2" applyFont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top"/>
    </xf>
    <xf numFmtId="0" fontId="6" fillId="0" borderId="0" xfId="2" applyFont="1" applyAlignment="1">
      <alignment horizontal="left" vertical="center" wrapText="1"/>
    </xf>
    <xf numFmtId="0" fontId="16" fillId="0" borderId="0" xfId="2" applyNumberFormat="1" applyFont="1" applyBorder="1" applyAlignment="1">
      <alignment horizontal="center"/>
    </xf>
    <xf numFmtId="0" fontId="17" fillId="0" borderId="0" xfId="2" applyFont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6" fillId="0" borderId="62" xfId="2" applyFont="1" applyBorder="1" applyAlignment="1">
      <alignment horizontal="center" vertical="center" wrapText="1"/>
    </xf>
    <xf numFmtId="0" fontId="6" fillId="0" borderId="68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4" fontId="20" fillId="0" borderId="4" xfId="2" applyNumberFormat="1" applyFont="1" applyBorder="1" applyAlignment="1">
      <alignment horizontal="center" wrapText="1"/>
    </xf>
    <xf numFmtId="4" fontId="20" fillId="0" borderId="5" xfId="2" applyNumberFormat="1" applyFont="1" applyBorder="1" applyAlignment="1">
      <alignment horizontal="center" wrapText="1"/>
    </xf>
    <xf numFmtId="4" fontId="20" fillId="0" borderId="11" xfId="2" applyNumberFormat="1" applyFont="1" applyBorder="1" applyAlignment="1">
      <alignment horizontal="center" wrapText="1"/>
    </xf>
    <xf numFmtId="0" fontId="11" fillId="0" borderId="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" fillId="0" borderId="0" xfId="2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1" fillId="0" borderId="4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4" xfId="0" applyFont="1" applyBorder="1" applyAlignment="1"/>
    <xf numFmtId="0" fontId="31" fillId="0" borderId="11" xfId="0" applyFont="1" applyBorder="1" applyAlignment="1"/>
    <xf numFmtId="0" fontId="17" fillId="0" borderId="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31" fillId="0" borderId="4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4" xfId="0" applyFont="1" applyBorder="1" applyAlignment="1"/>
    <xf numFmtId="0" fontId="6" fillId="0" borderId="11" xfId="0" applyFont="1" applyBorder="1" applyAlignment="1"/>
    <xf numFmtId="0" fontId="17" fillId="0" borderId="4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22" fillId="0" borderId="5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0" xfId="0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6" fillId="0" borderId="5" xfId="0" applyFont="1" applyBorder="1" applyAlignment="1"/>
    <xf numFmtId="0" fontId="0" fillId="0" borderId="5" xfId="0" applyBorder="1" applyAlignment="1"/>
    <xf numFmtId="0" fontId="0" fillId="0" borderId="11" xfId="0" applyBorder="1" applyAlignment="1"/>
    <xf numFmtId="0" fontId="17" fillId="0" borderId="4" xfId="0" quotePrefix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9" fillId="0" borderId="4" xfId="0" applyFont="1" applyFill="1" applyBorder="1" applyAlignment="1"/>
    <xf numFmtId="2" fontId="13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62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6" fillId="0" borderId="50" xfId="2" applyFont="1" applyFill="1" applyBorder="1" applyAlignment="1">
      <alignment horizontal="right" wrapText="1"/>
    </xf>
    <xf numFmtId="4" fontId="6" fillId="0" borderId="0" xfId="2" applyNumberFormat="1" applyFont="1" applyAlignment="1">
      <alignment vertical="center" wrapText="1"/>
    </xf>
    <xf numFmtId="4" fontId="6" fillId="0" borderId="0" xfId="2" applyNumberFormat="1" applyFont="1" applyBorder="1" applyAlignment="1">
      <alignment horizontal="center" vertical="center" wrapText="1"/>
    </xf>
  </cellXfs>
  <cellStyles count="5">
    <cellStyle name="xl36" xfId="3"/>
    <cellStyle name="xl37" xfId="4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83;&#1103;%20&#1087;&#1083;&#1072;&#1085;&#1072;\&#1055;&#1060;&#1061;&#1044;%20&#1096;&#1082;&#1086;&#1083;&#1099;%20&#1085;&#1072;%2031.08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план без защиты"/>
      <sheetName val="вспомогательная"/>
      <sheetName val="закупки"/>
      <sheetName val="аренда"/>
      <sheetName val="возмещение"/>
      <sheetName val="иная прин "/>
      <sheetName val="обоснования(мест)"/>
      <sheetName val="обоснования (Z)"/>
      <sheetName val="обоснования (7)"/>
      <sheetName val="обоснования (субвен)"/>
      <sheetName val="обоснования (лагерь)"/>
      <sheetName val="12124S3042"/>
      <sheetName val="12124L3041"/>
      <sheetName val="обоснования (питание)"/>
      <sheetName val="обоснования(сторойка)"/>
      <sheetName val="обоснования(платные)"/>
      <sheetName val="класное"/>
      <sheetName val="закупка осн"/>
    </sheetNames>
    <sheetDataSet>
      <sheetData sheetId="0" refreshError="1"/>
      <sheetData sheetId="1" refreshError="1"/>
      <sheetData sheetId="2">
        <row r="57">
          <cell r="O57" t="str">
            <v>1210521010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116"/>
  <sheetViews>
    <sheetView topLeftCell="A19" zoomScale="110" zoomScaleNormal="110" workbookViewId="0">
      <selection activeCell="D18" sqref="D18:I18"/>
    </sheetView>
  </sheetViews>
  <sheetFormatPr defaultRowHeight="15"/>
  <cols>
    <col min="1" max="1" width="9.140625" style="217"/>
    <col min="2" max="9" width="9.140625" style="218"/>
    <col min="10" max="10" width="14.7109375" style="218" customWidth="1"/>
    <col min="11" max="14" width="10.5703125" style="218" customWidth="1"/>
    <col min="15" max="67" width="9.140625" style="217"/>
    <col min="68" max="16384" width="9.140625" style="218"/>
  </cols>
  <sheetData>
    <row r="2" spans="2:14">
      <c r="K2" s="442" t="s">
        <v>123</v>
      </c>
      <c r="L2" s="442"/>
      <c r="M2" s="442"/>
      <c r="N2" s="442"/>
    </row>
    <row r="3" spans="2:14">
      <c r="K3" s="442" t="s">
        <v>368</v>
      </c>
      <c r="L3" s="442"/>
      <c r="M3" s="442"/>
      <c r="N3" s="442"/>
    </row>
    <row r="4" spans="2:14">
      <c r="K4" s="440" t="s">
        <v>117</v>
      </c>
      <c r="L4" s="440"/>
      <c r="M4" s="440"/>
      <c r="N4" s="440"/>
    </row>
    <row r="5" spans="2:14">
      <c r="K5" s="441" t="str">
        <f>вспомогательная!K7</f>
        <v xml:space="preserve"> "Гимназия во имя святителя Иннокентия Пензенского" г. Пензы</v>
      </c>
      <c r="L5" s="442"/>
      <c r="M5" s="442"/>
      <c r="N5" s="442"/>
    </row>
    <row r="6" spans="2:14">
      <c r="K6" s="440" t="s">
        <v>118</v>
      </c>
      <c r="L6" s="440"/>
      <c r="M6" s="440"/>
      <c r="N6" s="440"/>
    </row>
    <row r="7" spans="2:14">
      <c r="K7" s="443" t="str">
        <f>вспомогательная!K9</f>
        <v>Духанина Е.А.</v>
      </c>
      <c r="L7" s="443"/>
      <c r="M7" s="443"/>
      <c r="N7" s="443"/>
    </row>
    <row r="8" spans="2:14" ht="8.25" customHeight="1">
      <c r="K8" s="440" t="s">
        <v>119</v>
      </c>
      <c r="L8" s="440"/>
      <c r="M8" s="444" t="s">
        <v>122</v>
      </c>
      <c r="N8" s="444"/>
    </row>
    <row r="9" spans="2:14">
      <c r="K9" s="454" t="str">
        <f>вспомогательная!K11</f>
        <v>"11" января 2021</v>
      </c>
      <c r="L9" s="454"/>
      <c r="M9" s="454"/>
      <c r="N9" s="454"/>
    </row>
    <row r="10" spans="2:14" ht="15.75" thickBot="1"/>
    <row r="11" spans="2:14" ht="12" customHeight="1">
      <c r="L11" s="12"/>
      <c r="M11" s="12"/>
      <c r="N11" s="455" t="s">
        <v>106</v>
      </c>
    </row>
    <row r="12" spans="2:14" ht="12" customHeight="1" thickBot="1">
      <c r="L12" s="13"/>
      <c r="M12" s="13"/>
      <c r="N12" s="456"/>
    </row>
    <row r="13" spans="2:14" ht="15" customHeight="1">
      <c r="D13" s="457" t="str">
        <f>вспомогательная!D15</f>
        <v>План финансово-хозяйственной деятельности на 2021 г.</v>
      </c>
      <c r="E13" s="457"/>
      <c r="F13" s="457"/>
      <c r="G13" s="457"/>
      <c r="H13" s="457"/>
      <c r="I13" s="457"/>
      <c r="J13" s="457"/>
      <c r="L13" s="13"/>
      <c r="M13" s="14" t="s">
        <v>107</v>
      </c>
      <c r="N13" s="15" t="str">
        <f>вспомогательная!N15</f>
        <v>11.01.2021</v>
      </c>
    </row>
    <row r="14" spans="2:14" ht="15" customHeight="1">
      <c r="D14" s="457" t="str">
        <f>вспомогательная!D16</f>
        <v>( на 2021 г. и плановый период 2022 и 2023 годов)</v>
      </c>
      <c r="E14" s="457"/>
      <c r="F14" s="457"/>
      <c r="G14" s="457"/>
      <c r="H14" s="457"/>
      <c r="I14" s="457"/>
      <c r="J14" s="457"/>
      <c r="L14" s="13"/>
      <c r="M14" s="14" t="s">
        <v>108</v>
      </c>
      <c r="N14" s="219"/>
    </row>
    <row r="15" spans="2:14" ht="15" customHeight="1">
      <c r="D15" s="457" t="str">
        <f>вспомогательная!D17</f>
        <v>от " 11 " января 2021г.</v>
      </c>
      <c r="E15" s="457"/>
      <c r="F15" s="457"/>
      <c r="G15" s="457"/>
      <c r="H15" s="457"/>
      <c r="I15" s="457"/>
      <c r="J15" s="457"/>
      <c r="L15" s="13"/>
      <c r="M15" s="14" t="s">
        <v>109</v>
      </c>
      <c r="N15" s="219" t="s">
        <v>354</v>
      </c>
    </row>
    <row r="16" spans="2:14" ht="12" customHeight="1">
      <c r="B16" s="471" t="s">
        <v>379</v>
      </c>
      <c r="C16" s="471"/>
      <c r="D16" s="471"/>
      <c r="E16" s="276"/>
      <c r="F16" s="18"/>
      <c r="G16" s="18"/>
      <c r="H16" s="18"/>
      <c r="I16" s="18"/>
      <c r="L16" s="13"/>
      <c r="M16" s="14" t="s">
        <v>108</v>
      </c>
      <c r="N16" s="219"/>
    </row>
    <row r="17" spans="1:67" ht="12" customHeight="1">
      <c r="B17" s="471" t="s">
        <v>380</v>
      </c>
      <c r="C17" s="471"/>
      <c r="D17" s="471"/>
      <c r="E17" s="471"/>
      <c r="F17" s="472" t="s">
        <v>381</v>
      </c>
      <c r="G17" s="472"/>
      <c r="H17" s="472"/>
      <c r="I17" s="472"/>
      <c r="L17" s="13"/>
      <c r="M17" s="14" t="s">
        <v>110</v>
      </c>
      <c r="N17" s="102" t="str">
        <f>вспомогательная!N19</f>
        <v>5835070166</v>
      </c>
    </row>
    <row r="18" spans="1:67" ht="12" customHeight="1">
      <c r="B18" s="18" t="s">
        <v>382</v>
      </c>
      <c r="C18" s="18"/>
      <c r="D18" s="473" t="str">
        <f>вспомогательная!D20</f>
        <v xml:space="preserve"> "Гимназия во имя святителя Иннокентия Пензенского" г. Пензы</v>
      </c>
      <c r="E18" s="473"/>
      <c r="F18" s="473"/>
      <c r="G18" s="473"/>
      <c r="H18" s="473"/>
      <c r="I18" s="473"/>
      <c r="L18" s="13"/>
      <c r="M18" s="14" t="s">
        <v>111</v>
      </c>
      <c r="N18" s="102" t="str">
        <f>вспомогательная!N20</f>
        <v>583501001</v>
      </c>
    </row>
    <row r="19" spans="1:67" ht="12" customHeight="1" thickBot="1">
      <c r="B19" s="18" t="s">
        <v>383</v>
      </c>
      <c r="C19" s="18"/>
      <c r="D19" s="18"/>
      <c r="E19" s="18"/>
      <c r="F19" s="18"/>
      <c r="G19" s="18"/>
      <c r="H19" s="18"/>
      <c r="I19" s="18"/>
      <c r="L19" s="13"/>
      <c r="M19" s="14" t="s">
        <v>112</v>
      </c>
      <c r="N19" s="220" t="s">
        <v>113</v>
      </c>
    </row>
    <row r="20" spans="1:67">
      <c r="E20" s="221" t="s">
        <v>114</v>
      </c>
      <c r="F20" s="221"/>
      <c r="G20" s="221"/>
      <c r="H20" s="221"/>
    </row>
    <row r="21" spans="1:67" ht="15.75" thickBot="1"/>
    <row r="22" spans="1:67">
      <c r="B22" s="458" t="s">
        <v>0</v>
      </c>
      <c r="C22" s="459"/>
      <c r="D22" s="459"/>
      <c r="E22" s="459"/>
      <c r="F22" s="459"/>
      <c r="G22" s="459"/>
      <c r="H22" s="464" t="s">
        <v>1</v>
      </c>
      <c r="I22" s="464" t="s">
        <v>2</v>
      </c>
      <c r="J22" s="467" t="s">
        <v>3</v>
      </c>
      <c r="K22" s="469" t="s">
        <v>4</v>
      </c>
      <c r="L22" s="469"/>
      <c r="M22" s="469"/>
      <c r="N22" s="470"/>
    </row>
    <row r="23" spans="1:67">
      <c r="B23" s="460"/>
      <c r="C23" s="461"/>
      <c r="D23" s="461"/>
      <c r="E23" s="461"/>
      <c r="F23" s="461"/>
      <c r="G23" s="461"/>
      <c r="H23" s="465"/>
      <c r="I23" s="465"/>
      <c r="J23" s="468"/>
      <c r="K23" s="61" t="s">
        <v>196</v>
      </c>
      <c r="L23" s="61" t="s">
        <v>197</v>
      </c>
      <c r="M23" s="61" t="s">
        <v>198</v>
      </c>
      <c r="N23" s="445" t="s">
        <v>7</v>
      </c>
    </row>
    <row r="24" spans="1:67" ht="36.75" customHeight="1">
      <c r="B24" s="462"/>
      <c r="C24" s="463"/>
      <c r="D24" s="463"/>
      <c r="E24" s="463"/>
      <c r="F24" s="463"/>
      <c r="G24" s="463"/>
      <c r="H24" s="466"/>
      <c r="I24" s="466"/>
      <c r="J24" s="468"/>
      <c r="K24" s="62" t="s">
        <v>8</v>
      </c>
      <c r="L24" s="62" t="s">
        <v>9</v>
      </c>
      <c r="M24" s="62" t="s">
        <v>10</v>
      </c>
      <c r="N24" s="445"/>
    </row>
    <row r="25" spans="1:67" ht="15.75" thickBot="1">
      <c r="B25" s="446" t="s">
        <v>11</v>
      </c>
      <c r="C25" s="447"/>
      <c r="D25" s="447"/>
      <c r="E25" s="447"/>
      <c r="F25" s="447"/>
      <c r="G25" s="447"/>
      <c r="H25" s="222" t="s">
        <v>12</v>
      </c>
      <c r="I25" s="222" t="s">
        <v>13</v>
      </c>
      <c r="J25" s="222" t="s">
        <v>14</v>
      </c>
      <c r="K25" s="222" t="s">
        <v>15</v>
      </c>
      <c r="L25" s="222" t="s">
        <v>16</v>
      </c>
      <c r="M25" s="222" t="s">
        <v>17</v>
      </c>
      <c r="N25" s="223" t="s">
        <v>18</v>
      </c>
    </row>
    <row r="26" spans="1:67">
      <c r="B26" s="448" t="s">
        <v>19</v>
      </c>
      <c r="C26" s="449"/>
      <c r="D26" s="449"/>
      <c r="E26" s="449"/>
      <c r="F26" s="449"/>
      <c r="G26" s="449"/>
      <c r="H26" s="224" t="s">
        <v>20</v>
      </c>
      <c r="I26" s="225" t="s">
        <v>21</v>
      </c>
      <c r="J26" s="226" t="s">
        <v>21</v>
      </c>
      <c r="K26" s="266">
        <f>вспомогательная!K28</f>
        <v>22670.6</v>
      </c>
      <c r="L26" s="266">
        <f>вспомогательная!L28</f>
        <v>0</v>
      </c>
      <c r="M26" s="266">
        <f>вспомогательная!M28</f>
        <v>0</v>
      </c>
      <c r="N26" s="49"/>
    </row>
    <row r="27" spans="1:67">
      <c r="B27" s="448" t="s">
        <v>22</v>
      </c>
      <c r="C27" s="449"/>
      <c r="D27" s="449"/>
      <c r="E27" s="449"/>
      <c r="F27" s="449"/>
      <c r="G27" s="449"/>
      <c r="H27" s="209" t="s">
        <v>23</v>
      </c>
      <c r="I27" s="185" t="s">
        <v>21</v>
      </c>
      <c r="J27" s="227" t="s">
        <v>21</v>
      </c>
      <c r="K27" s="207">
        <f>K26+K28-K54</f>
        <v>0</v>
      </c>
      <c r="L27" s="207">
        <f t="shared" ref="L27:M27" si="0">L26+L28-L54</f>
        <v>0</v>
      </c>
      <c r="M27" s="207">
        <f t="shared" si="0"/>
        <v>0</v>
      </c>
      <c r="N27" s="204"/>
    </row>
    <row r="28" spans="1:67" s="232" customFormat="1">
      <c r="A28" s="217"/>
      <c r="B28" s="450" t="s">
        <v>24</v>
      </c>
      <c r="C28" s="451"/>
      <c r="D28" s="451"/>
      <c r="E28" s="451"/>
      <c r="F28" s="451"/>
      <c r="G28" s="451"/>
      <c r="H28" s="229" t="s">
        <v>25</v>
      </c>
      <c r="I28" s="230"/>
      <c r="J28" s="231"/>
      <c r="K28" s="89">
        <f>K29+K32+K35+K38+K41+K45+K51</f>
        <v>14094348.33</v>
      </c>
      <c r="L28" s="89">
        <f t="shared" ref="L28:M28" si="1">L29+L32+L35+L38+L41+L45+L51</f>
        <v>16011384.73</v>
      </c>
      <c r="M28" s="89">
        <f t="shared" si="1"/>
        <v>15723500.700000001</v>
      </c>
      <c r="N28" s="53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</row>
    <row r="29" spans="1:67">
      <c r="B29" s="452" t="s">
        <v>26</v>
      </c>
      <c r="C29" s="453"/>
      <c r="D29" s="453"/>
      <c r="E29" s="453"/>
      <c r="F29" s="453"/>
      <c r="G29" s="453"/>
      <c r="H29" s="209" t="s">
        <v>27</v>
      </c>
      <c r="I29" s="185" t="s">
        <v>28</v>
      </c>
      <c r="J29" s="227"/>
      <c r="K29" s="207">
        <f t="shared" ref="K29:M29" si="2">K30</f>
        <v>0</v>
      </c>
      <c r="L29" s="207">
        <f t="shared" si="2"/>
        <v>0</v>
      </c>
      <c r="M29" s="207">
        <f t="shared" si="2"/>
        <v>0</v>
      </c>
      <c r="N29" s="204"/>
    </row>
    <row r="30" spans="1:67">
      <c r="B30" s="476" t="s">
        <v>29</v>
      </c>
      <c r="C30" s="477"/>
      <c r="D30" s="477"/>
      <c r="E30" s="477"/>
      <c r="F30" s="477"/>
      <c r="G30" s="477"/>
      <c r="H30" s="478" t="s">
        <v>30</v>
      </c>
      <c r="I30" s="493"/>
      <c r="J30" s="482"/>
      <c r="K30" s="484"/>
      <c r="L30" s="484"/>
      <c r="M30" s="484"/>
      <c r="N30" s="485"/>
    </row>
    <row r="31" spans="1:67" ht="11.25" hidden="1" customHeight="1">
      <c r="B31" s="486"/>
      <c r="C31" s="487"/>
      <c r="D31" s="487"/>
      <c r="E31" s="487"/>
      <c r="F31" s="487"/>
      <c r="G31" s="487"/>
      <c r="H31" s="479"/>
      <c r="I31" s="494"/>
      <c r="J31" s="482"/>
      <c r="K31" s="484"/>
      <c r="L31" s="484"/>
      <c r="M31" s="484"/>
      <c r="N31" s="485"/>
    </row>
    <row r="32" spans="1:67">
      <c r="B32" s="474" t="s">
        <v>31</v>
      </c>
      <c r="C32" s="475"/>
      <c r="D32" s="475"/>
      <c r="E32" s="475"/>
      <c r="F32" s="475"/>
      <c r="G32" s="475"/>
      <c r="H32" s="253" t="s">
        <v>32</v>
      </c>
      <c r="I32" s="254" t="s">
        <v>33</v>
      </c>
      <c r="J32" s="227"/>
      <c r="K32" s="207">
        <f t="shared" ref="K32:M32" si="3">K33</f>
        <v>11054515</v>
      </c>
      <c r="L32" s="207">
        <f t="shared" si="3"/>
        <v>11819443</v>
      </c>
      <c r="M32" s="207">
        <f t="shared" si="3"/>
        <v>12166967</v>
      </c>
      <c r="N32" s="204"/>
    </row>
    <row r="33" spans="2:14">
      <c r="B33" s="488" t="s">
        <v>34</v>
      </c>
      <c r="C33" s="489"/>
      <c r="D33" s="489"/>
      <c r="E33" s="489"/>
      <c r="F33" s="489"/>
      <c r="G33" s="489"/>
      <c r="H33" s="209" t="s">
        <v>35</v>
      </c>
      <c r="I33" s="185" t="s">
        <v>33</v>
      </c>
      <c r="J33" s="227"/>
      <c r="K33" s="203">
        <f>вспомогательная!K35</f>
        <v>11054515</v>
      </c>
      <c r="L33" s="203">
        <f>вспомогательная!L35</f>
        <v>11819443</v>
      </c>
      <c r="M33" s="203">
        <f>вспомогательная!M35</f>
        <v>12166967</v>
      </c>
      <c r="N33" s="204"/>
    </row>
    <row r="34" spans="2:14" hidden="1">
      <c r="B34" s="490"/>
      <c r="C34" s="491"/>
      <c r="D34" s="491"/>
      <c r="E34" s="491"/>
      <c r="F34" s="491"/>
      <c r="G34" s="492"/>
      <c r="H34" s="209"/>
      <c r="I34" s="185"/>
      <c r="J34" s="227"/>
      <c r="K34" s="207"/>
      <c r="L34" s="207"/>
      <c r="M34" s="207"/>
      <c r="N34" s="204"/>
    </row>
    <row r="35" spans="2:14">
      <c r="B35" s="474" t="s">
        <v>36</v>
      </c>
      <c r="C35" s="475"/>
      <c r="D35" s="475"/>
      <c r="E35" s="475"/>
      <c r="F35" s="475"/>
      <c r="G35" s="475"/>
      <c r="H35" s="209" t="s">
        <v>37</v>
      </c>
      <c r="I35" s="185" t="s">
        <v>38</v>
      </c>
      <c r="J35" s="227"/>
      <c r="K35" s="207">
        <f t="shared" ref="K35:M35" si="4">K36</f>
        <v>0</v>
      </c>
      <c r="L35" s="207">
        <f t="shared" si="4"/>
        <v>0</v>
      </c>
      <c r="M35" s="207">
        <f t="shared" si="4"/>
        <v>0</v>
      </c>
      <c r="N35" s="204"/>
    </row>
    <row r="36" spans="2:14">
      <c r="B36" s="476" t="s">
        <v>29</v>
      </c>
      <c r="C36" s="477"/>
      <c r="D36" s="477"/>
      <c r="E36" s="477"/>
      <c r="F36" s="477"/>
      <c r="G36" s="477"/>
      <c r="H36" s="478" t="s">
        <v>39</v>
      </c>
      <c r="I36" s="480" t="s">
        <v>38</v>
      </c>
      <c r="J36" s="482"/>
      <c r="K36" s="483">
        <f>вспомогательная!K38</f>
        <v>0</v>
      </c>
      <c r="L36" s="483">
        <f>вспомогательная!L38</f>
        <v>0</v>
      </c>
      <c r="M36" s="483">
        <f>вспомогательная!M38</f>
        <v>0</v>
      </c>
      <c r="N36" s="485"/>
    </row>
    <row r="37" spans="2:14">
      <c r="B37" s="486"/>
      <c r="C37" s="487"/>
      <c r="D37" s="487"/>
      <c r="E37" s="487"/>
      <c r="F37" s="487"/>
      <c r="G37" s="487"/>
      <c r="H37" s="479"/>
      <c r="I37" s="481"/>
      <c r="J37" s="482"/>
      <c r="K37" s="483"/>
      <c r="L37" s="483"/>
      <c r="M37" s="483"/>
      <c r="N37" s="485"/>
    </row>
    <row r="38" spans="2:14">
      <c r="B38" s="474" t="s">
        <v>40</v>
      </c>
      <c r="C38" s="475"/>
      <c r="D38" s="475"/>
      <c r="E38" s="475"/>
      <c r="F38" s="475"/>
      <c r="G38" s="475"/>
      <c r="H38" s="209" t="s">
        <v>41</v>
      </c>
      <c r="I38" s="185" t="s">
        <v>42</v>
      </c>
      <c r="J38" s="227"/>
      <c r="K38" s="207">
        <f t="shared" ref="K38:M38" si="5">K39</f>
        <v>2572978.44</v>
      </c>
      <c r="L38" s="207">
        <f t="shared" si="5"/>
        <v>3702416.24</v>
      </c>
      <c r="M38" s="207">
        <f t="shared" si="5"/>
        <v>3067008.21</v>
      </c>
      <c r="N38" s="204"/>
    </row>
    <row r="39" spans="2:14">
      <c r="B39" s="495" t="s">
        <v>29</v>
      </c>
      <c r="C39" s="496"/>
      <c r="D39" s="496"/>
      <c r="E39" s="496"/>
      <c r="F39" s="496"/>
      <c r="G39" s="496"/>
      <c r="H39" s="478"/>
      <c r="I39" s="480"/>
      <c r="J39" s="482"/>
      <c r="K39" s="483">
        <f>вспомогательная!K41</f>
        <v>2572978.44</v>
      </c>
      <c r="L39" s="483">
        <f>вспомогательная!L41</f>
        <v>3702416.24</v>
      </c>
      <c r="M39" s="483">
        <f>вспомогательная!M41</f>
        <v>3067008.21</v>
      </c>
      <c r="N39" s="485"/>
    </row>
    <row r="40" spans="2:14" s="217" customFormat="1">
      <c r="B40" s="498" t="s">
        <v>47</v>
      </c>
      <c r="C40" s="499"/>
      <c r="D40" s="499"/>
      <c r="E40" s="499"/>
      <c r="F40" s="499"/>
      <c r="G40" s="499"/>
      <c r="H40" s="479"/>
      <c r="I40" s="481"/>
      <c r="J40" s="482"/>
      <c r="K40" s="483"/>
      <c r="L40" s="483"/>
      <c r="M40" s="483"/>
      <c r="N40" s="485"/>
    </row>
    <row r="41" spans="2:14">
      <c r="B41" s="474" t="s">
        <v>43</v>
      </c>
      <c r="C41" s="475"/>
      <c r="D41" s="475"/>
      <c r="E41" s="475"/>
      <c r="F41" s="475"/>
      <c r="G41" s="475"/>
      <c r="H41" s="209" t="s">
        <v>44</v>
      </c>
      <c r="I41" s="185" t="s">
        <v>45</v>
      </c>
      <c r="J41" s="227"/>
      <c r="K41" s="207">
        <f t="shared" ref="K41:M41" si="6">K42</f>
        <v>0</v>
      </c>
      <c r="L41" s="207">
        <f t="shared" si="6"/>
        <v>0</v>
      </c>
      <c r="M41" s="207">
        <f t="shared" si="6"/>
        <v>0</v>
      </c>
      <c r="N41" s="204"/>
    </row>
    <row r="42" spans="2:14">
      <c r="B42" s="495" t="s">
        <v>29</v>
      </c>
      <c r="C42" s="496"/>
      <c r="D42" s="496"/>
      <c r="E42" s="496"/>
      <c r="F42" s="496"/>
      <c r="G42" s="496"/>
      <c r="H42" s="478" t="s">
        <v>46</v>
      </c>
      <c r="I42" s="480" t="s">
        <v>45</v>
      </c>
      <c r="J42" s="482"/>
      <c r="K42" s="497">
        <f>вспомогательная!K44</f>
        <v>0</v>
      </c>
      <c r="L42" s="497">
        <f>вспомогательная!L44</f>
        <v>0</v>
      </c>
      <c r="M42" s="497">
        <f>вспомогательная!M44</f>
        <v>0</v>
      </c>
      <c r="N42" s="485"/>
    </row>
    <row r="43" spans="2:14" s="217" customFormat="1">
      <c r="B43" s="498"/>
      <c r="C43" s="499"/>
      <c r="D43" s="499"/>
      <c r="E43" s="499"/>
      <c r="F43" s="499"/>
      <c r="G43" s="499"/>
      <c r="H43" s="479"/>
      <c r="I43" s="481"/>
      <c r="J43" s="482"/>
      <c r="K43" s="497"/>
      <c r="L43" s="497"/>
      <c r="M43" s="497"/>
      <c r="N43" s="485"/>
    </row>
    <row r="44" spans="2:14" hidden="1">
      <c r="B44" s="500"/>
      <c r="C44" s="501"/>
      <c r="D44" s="501"/>
      <c r="E44" s="501"/>
      <c r="F44" s="501"/>
      <c r="G44" s="501"/>
      <c r="H44" s="209"/>
      <c r="I44" s="185"/>
      <c r="J44" s="227"/>
      <c r="K44" s="207"/>
      <c r="L44" s="207"/>
      <c r="M44" s="207"/>
      <c r="N44" s="204"/>
    </row>
    <row r="45" spans="2:14">
      <c r="B45" s="474" t="s">
        <v>48</v>
      </c>
      <c r="C45" s="475"/>
      <c r="D45" s="475"/>
      <c r="E45" s="475"/>
      <c r="F45" s="475"/>
      <c r="G45" s="475"/>
      <c r="H45" s="209" t="s">
        <v>49</v>
      </c>
      <c r="I45" s="185"/>
      <c r="J45" s="227"/>
      <c r="K45" s="207">
        <f t="shared" ref="K45:M45" si="7">K46+K48+K49+K50</f>
        <v>466854.89</v>
      </c>
      <c r="L45" s="207">
        <f t="shared" si="7"/>
        <v>489525.49</v>
      </c>
      <c r="M45" s="207">
        <f t="shared" si="7"/>
        <v>489525.49</v>
      </c>
      <c r="N45" s="204"/>
    </row>
    <row r="46" spans="2:14">
      <c r="B46" s="495" t="s">
        <v>29</v>
      </c>
      <c r="C46" s="496"/>
      <c r="D46" s="496"/>
      <c r="E46" s="496"/>
      <c r="F46" s="496"/>
      <c r="G46" s="496"/>
      <c r="H46" s="478"/>
      <c r="I46" s="480"/>
      <c r="J46" s="482"/>
      <c r="K46" s="483">
        <f>вспомогательная!K48</f>
        <v>43860</v>
      </c>
      <c r="L46" s="483">
        <f>вспомогательная!L48</f>
        <v>43860</v>
      </c>
      <c r="M46" s="483">
        <f>вспомогательная!M48</f>
        <v>43860</v>
      </c>
      <c r="N46" s="485"/>
    </row>
    <row r="47" spans="2:14">
      <c r="B47" s="506" t="s">
        <v>187</v>
      </c>
      <c r="C47" s="507"/>
      <c r="D47" s="507"/>
      <c r="E47" s="507"/>
      <c r="F47" s="507"/>
      <c r="G47" s="507"/>
      <c r="H47" s="479"/>
      <c r="I47" s="481"/>
      <c r="J47" s="482"/>
      <c r="K47" s="483"/>
      <c r="L47" s="483"/>
      <c r="M47" s="483"/>
      <c r="N47" s="485"/>
    </row>
    <row r="48" spans="2:14">
      <c r="B48" s="508" t="s">
        <v>188</v>
      </c>
      <c r="C48" s="509"/>
      <c r="D48" s="509"/>
      <c r="E48" s="509"/>
      <c r="F48" s="509"/>
      <c r="G48" s="509"/>
      <c r="H48" s="209"/>
      <c r="I48" s="185"/>
      <c r="J48" s="227"/>
      <c r="K48" s="203">
        <f>вспомогательная!K50</f>
        <v>0</v>
      </c>
      <c r="L48" s="203">
        <f>вспомогательная!L50</f>
        <v>0</v>
      </c>
      <c r="M48" s="203">
        <f>вспомогательная!M50</f>
        <v>0</v>
      </c>
      <c r="N48" s="204"/>
    </row>
    <row r="49" spans="1:71">
      <c r="B49" s="508" t="s">
        <v>189</v>
      </c>
      <c r="C49" s="509"/>
      <c r="D49" s="509"/>
      <c r="E49" s="509"/>
      <c r="F49" s="509"/>
      <c r="G49" s="509"/>
      <c r="H49" s="209"/>
      <c r="I49" s="185"/>
      <c r="J49" s="227"/>
      <c r="K49" s="203">
        <f>вспомогательная!K51</f>
        <v>178335.49</v>
      </c>
      <c r="L49" s="203">
        <f>вспомогательная!L51</f>
        <v>178335.49</v>
      </c>
      <c r="M49" s="203">
        <f>вспомогательная!M51</f>
        <v>178335.49</v>
      </c>
      <c r="N49" s="204"/>
    </row>
    <row r="50" spans="1:71">
      <c r="B50" s="510" t="s">
        <v>190</v>
      </c>
      <c r="C50" s="507"/>
      <c r="D50" s="507"/>
      <c r="E50" s="507"/>
      <c r="F50" s="507"/>
      <c r="G50" s="507"/>
      <c r="H50" s="209"/>
      <c r="I50" s="185"/>
      <c r="J50" s="227"/>
      <c r="K50" s="203">
        <f>вспомогательная!K52</f>
        <v>244659.40000000002</v>
      </c>
      <c r="L50" s="203">
        <f>вспомогательная!L52</f>
        <v>267330</v>
      </c>
      <c r="M50" s="203">
        <f>вспомогательная!M52</f>
        <v>267330</v>
      </c>
      <c r="N50" s="204"/>
    </row>
    <row r="51" spans="1:71">
      <c r="B51" s="474" t="s">
        <v>50</v>
      </c>
      <c r="C51" s="475"/>
      <c r="D51" s="475"/>
      <c r="E51" s="475"/>
      <c r="F51" s="475"/>
      <c r="G51" s="475"/>
      <c r="H51" s="209" t="s">
        <v>51</v>
      </c>
      <c r="I51" s="185" t="s">
        <v>21</v>
      </c>
      <c r="J51" s="227"/>
      <c r="K51" s="207">
        <f t="shared" ref="K51:M51" si="8">K52</f>
        <v>0</v>
      </c>
      <c r="L51" s="207">
        <f t="shared" si="8"/>
        <v>0</v>
      </c>
      <c r="M51" s="207">
        <f t="shared" si="8"/>
        <v>0</v>
      </c>
      <c r="N51" s="204"/>
    </row>
    <row r="52" spans="1:71">
      <c r="B52" s="488" t="s">
        <v>52</v>
      </c>
      <c r="C52" s="489"/>
      <c r="D52" s="489"/>
      <c r="E52" s="489"/>
      <c r="F52" s="489"/>
      <c r="G52" s="489"/>
      <c r="H52" s="209" t="s">
        <v>53</v>
      </c>
      <c r="I52" s="185" t="s">
        <v>54</v>
      </c>
      <c r="J52" s="227"/>
      <c r="K52" s="207"/>
      <c r="L52" s="207"/>
      <c r="M52" s="207"/>
      <c r="N52" s="204" t="s">
        <v>21</v>
      </c>
    </row>
    <row r="53" spans="1:71" hidden="1">
      <c r="B53" s="500"/>
      <c r="C53" s="501"/>
      <c r="D53" s="501"/>
      <c r="E53" s="501"/>
      <c r="F53" s="501"/>
      <c r="G53" s="501"/>
      <c r="H53" s="209"/>
      <c r="I53" s="185"/>
      <c r="J53" s="227"/>
      <c r="K53" s="207"/>
      <c r="L53" s="207"/>
      <c r="M53" s="207"/>
      <c r="N53" s="204"/>
    </row>
    <row r="54" spans="1:71" s="236" customFormat="1">
      <c r="A54" s="217"/>
      <c r="B54" s="502" t="s">
        <v>55</v>
      </c>
      <c r="C54" s="503"/>
      <c r="D54" s="503"/>
      <c r="E54" s="503"/>
      <c r="F54" s="503"/>
      <c r="G54" s="503"/>
      <c r="H54" s="233" t="s">
        <v>56</v>
      </c>
      <c r="I54" s="234" t="s">
        <v>21</v>
      </c>
      <c r="J54" s="235"/>
      <c r="K54" s="88">
        <f>K55+K60+K63+K78+K88+K90+K110</f>
        <v>14117018.93</v>
      </c>
      <c r="L54" s="88">
        <f>L55+L60+L63+L78+L88+L90+L110</f>
        <v>16011384.73</v>
      </c>
      <c r="M54" s="88">
        <f>M55+M60+M63+M78+M88+M90+M110</f>
        <v>15723500.699999999</v>
      </c>
      <c r="N54" s="66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</row>
    <row r="55" spans="1:71" s="240" customFormat="1">
      <c r="A55" s="217"/>
      <c r="B55" s="504" t="s">
        <v>57</v>
      </c>
      <c r="C55" s="505"/>
      <c r="D55" s="505"/>
      <c r="E55" s="505"/>
      <c r="F55" s="505"/>
      <c r="G55" s="505"/>
      <c r="H55" s="237" t="s">
        <v>58</v>
      </c>
      <c r="I55" s="238" t="s">
        <v>21</v>
      </c>
      <c r="J55" s="239"/>
      <c r="K55" s="45">
        <f>K56+K57</f>
        <v>8099045</v>
      </c>
      <c r="L55" s="45">
        <f>L56+L57</f>
        <v>8722385</v>
      </c>
      <c r="M55" s="45">
        <f>M56+M57</f>
        <v>8895153</v>
      </c>
      <c r="N55" s="56" t="s">
        <v>21</v>
      </c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</row>
    <row r="56" spans="1:71">
      <c r="B56" s="488" t="s">
        <v>59</v>
      </c>
      <c r="C56" s="489"/>
      <c r="D56" s="489"/>
      <c r="E56" s="489"/>
      <c r="F56" s="489"/>
      <c r="G56" s="489"/>
      <c r="H56" s="209" t="s">
        <v>60</v>
      </c>
      <c r="I56" s="185" t="s">
        <v>61</v>
      </c>
      <c r="J56" s="241" t="s">
        <v>326</v>
      </c>
      <c r="K56" s="177">
        <f>вспомогательная!K58</f>
        <v>8073014</v>
      </c>
      <c r="L56" s="177">
        <f>вспомогательная!L58</f>
        <v>8722385</v>
      </c>
      <c r="M56" s="177">
        <f>вспомогательная!M58</f>
        <v>8895153</v>
      </c>
      <c r="N56" s="204" t="s">
        <v>21</v>
      </c>
    </row>
    <row r="57" spans="1:71" s="217" customFormat="1">
      <c r="B57" s="490"/>
      <c r="C57" s="491"/>
      <c r="D57" s="491"/>
      <c r="E57" s="491"/>
      <c r="F57" s="491"/>
      <c r="G57" s="492"/>
      <c r="H57" s="209"/>
      <c r="I57" s="185"/>
      <c r="J57" s="241" t="s">
        <v>327</v>
      </c>
      <c r="K57" s="177">
        <f>вспомогательная!K75</f>
        <v>26031</v>
      </c>
      <c r="L57" s="177">
        <f>вспомогательная!L75</f>
        <v>0</v>
      </c>
      <c r="M57" s="177">
        <f>вспомогательная!M75</f>
        <v>0</v>
      </c>
      <c r="N57" s="204"/>
      <c r="BP57" s="218"/>
      <c r="BQ57" s="218"/>
      <c r="BR57" s="218"/>
      <c r="BS57" s="218"/>
    </row>
    <row r="58" spans="1:71" s="217" customFormat="1" hidden="1">
      <c r="B58" s="186"/>
      <c r="C58" s="187"/>
      <c r="D58" s="187"/>
      <c r="E58" s="187"/>
      <c r="F58" s="187"/>
      <c r="G58" s="187"/>
      <c r="H58" s="209"/>
      <c r="I58" s="185"/>
      <c r="J58" s="227"/>
      <c r="K58" s="207"/>
      <c r="L58" s="207"/>
      <c r="M58" s="207"/>
      <c r="N58" s="204"/>
      <c r="BP58" s="218"/>
      <c r="BQ58" s="218"/>
      <c r="BR58" s="218"/>
      <c r="BS58" s="218"/>
    </row>
    <row r="59" spans="1:71" s="217" customFormat="1" hidden="1">
      <c r="B59" s="186"/>
      <c r="C59" s="187"/>
      <c r="D59" s="187"/>
      <c r="E59" s="187"/>
      <c r="F59" s="187"/>
      <c r="G59" s="187"/>
      <c r="H59" s="209"/>
      <c r="I59" s="185"/>
      <c r="J59" s="227"/>
      <c r="K59" s="207"/>
      <c r="L59" s="207"/>
      <c r="M59" s="207"/>
      <c r="N59" s="204"/>
      <c r="BP59" s="218"/>
      <c r="BQ59" s="218"/>
      <c r="BR59" s="218"/>
      <c r="BS59" s="218"/>
    </row>
    <row r="60" spans="1:71" s="240" customFormat="1">
      <c r="A60" s="217"/>
      <c r="B60" s="517" t="s">
        <v>62</v>
      </c>
      <c r="C60" s="518"/>
      <c r="D60" s="518"/>
      <c r="E60" s="518"/>
      <c r="F60" s="518"/>
      <c r="G60" s="518"/>
      <c r="H60" s="237" t="s">
        <v>63</v>
      </c>
      <c r="I60" s="238" t="s">
        <v>64</v>
      </c>
      <c r="J60" s="239"/>
      <c r="K60" s="45">
        <f>K61</f>
        <v>0</v>
      </c>
      <c r="L60" s="45">
        <f t="shared" ref="L60:M60" si="9">L61</f>
        <v>0</v>
      </c>
      <c r="M60" s="45">
        <f t="shared" si="9"/>
        <v>0</v>
      </c>
      <c r="N60" s="56" t="s">
        <v>21</v>
      </c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</row>
    <row r="61" spans="1:71" s="217" customFormat="1">
      <c r="B61" s="69"/>
      <c r="C61" s="39"/>
      <c r="D61" s="39"/>
      <c r="E61" s="39"/>
      <c r="F61" s="39"/>
      <c r="G61" s="39"/>
      <c r="H61" s="242"/>
      <c r="I61" s="243"/>
      <c r="J61" s="241">
        <v>266</v>
      </c>
      <c r="K61" s="182">
        <f>вспомогательная!K92</f>
        <v>0</v>
      </c>
      <c r="L61" s="182">
        <f>вспомогательная!L92</f>
        <v>0</v>
      </c>
      <c r="M61" s="182">
        <f>вспомогательная!M92</f>
        <v>0</v>
      </c>
      <c r="N61" s="57"/>
    </row>
    <row r="62" spans="1:71" s="217" customFormat="1" hidden="1">
      <c r="B62" s="69"/>
      <c r="C62" s="39"/>
      <c r="D62" s="39"/>
      <c r="E62" s="39"/>
      <c r="F62" s="39"/>
      <c r="G62" s="39"/>
      <c r="H62" s="242"/>
      <c r="I62" s="243"/>
      <c r="J62" s="227"/>
      <c r="K62" s="46"/>
      <c r="L62" s="46"/>
      <c r="M62" s="46"/>
      <c r="N62" s="57"/>
    </row>
    <row r="63" spans="1:71" s="240" customFormat="1" ht="24" customHeight="1">
      <c r="A63" s="217"/>
      <c r="B63" s="519" t="s">
        <v>65</v>
      </c>
      <c r="C63" s="520"/>
      <c r="D63" s="520"/>
      <c r="E63" s="520"/>
      <c r="F63" s="520"/>
      <c r="G63" s="520"/>
      <c r="H63" s="237" t="s">
        <v>66</v>
      </c>
      <c r="I63" s="238" t="s">
        <v>67</v>
      </c>
      <c r="J63" s="239"/>
      <c r="K63" s="45">
        <f>K64+K74</f>
        <v>2445912</v>
      </c>
      <c r="L63" s="45">
        <f>L64+L74</f>
        <v>2634160</v>
      </c>
      <c r="M63" s="45">
        <f>M64+M74</f>
        <v>2686336</v>
      </c>
      <c r="N63" s="56" t="s">
        <v>21</v>
      </c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</row>
    <row r="64" spans="1:71" s="244" customFormat="1">
      <c r="B64" s="521" t="s">
        <v>68</v>
      </c>
      <c r="C64" s="522"/>
      <c r="D64" s="522"/>
      <c r="E64" s="522"/>
      <c r="F64" s="522"/>
      <c r="G64" s="522"/>
      <c r="H64" s="245" t="s">
        <v>69</v>
      </c>
      <c r="I64" s="246" t="s">
        <v>67</v>
      </c>
      <c r="J64" s="247"/>
      <c r="K64" s="78">
        <f>K65</f>
        <v>2445912</v>
      </c>
      <c r="L64" s="78">
        <f t="shared" ref="L64:M64" si="10">L65</f>
        <v>2634160</v>
      </c>
      <c r="M64" s="78">
        <f t="shared" si="10"/>
        <v>2686336</v>
      </c>
      <c r="N64" s="79" t="s">
        <v>21</v>
      </c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</row>
    <row r="65" spans="1:67">
      <c r="B65" s="490"/>
      <c r="C65" s="491"/>
      <c r="D65" s="491"/>
      <c r="E65" s="491"/>
      <c r="F65" s="491"/>
      <c r="G65" s="492"/>
      <c r="H65" s="249"/>
      <c r="I65" s="250"/>
      <c r="J65" s="241" t="s">
        <v>340</v>
      </c>
      <c r="K65" s="177">
        <f>вспомогательная!K96</f>
        <v>2445912</v>
      </c>
      <c r="L65" s="177">
        <f>вспомогательная!L96</f>
        <v>2634160</v>
      </c>
      <c r="M65" s="177">
        <f>вспомогательная!M96</f>
        <v>2686336</v>
      </c>
      <c r="N65" s="204"/>
    </row>
    <row r="66" spans="1:67" hidden="1">
      <c r="B66" s="200"/>
      <c r="C66" s="201"/>
      <c r="D66" s="201"/>
      <c r="E66" s="201"/>
      <c r="F66" s="201"/>
      <c r="G66" s="202"/>
      <c r="H66" s="249"/>
      <c r="I66" s="250"/>
      <c r="J66" s="241"/>
      <c r="K66" s="177"/>
      <c r="L66" s="177"/>
      <c r="M66" s="177"/>
      <c r="N66" s="204"/>
    </row>
    <row r="67" spans="1:67" hidden="1">
      <c r="B67" s="200"/>
      <c r="C67" s="201"/>
      <c r="D67" s="201"/>
      <c r="E67" s="201"/>
      <c r="F67" s="201"/>
      <c r="G67" s="202"/>
      <c r="H67" s="249"/>
      <c r="I67" s="250"/>
      <c r="J67" s="227"/>
      <c r="K67" s="207"/>
      <c r="L67" s="207"/>
      <c r="M67" s="207"/>
      <c r="N67" s="204"/>
    </row>
    <row r="68" spans="1:67" hidden="1">
      <c r="B68" s="490"/>
      <c r="C68" s="491"/>
      <c r="D68" s="491"/>
      <c r="E68" s="491"/>
      <c r="F68" s="491"/>
      <c r="G68" s="492"/>
      <c r="H68" s="249"/>
      <c r="I68" s="250"/>
      <c r="J68" s="241"/>
      <c r="K68" s="177"/>
      <c r="L68" s="177"/>
      <c r="M68" s="177"/>
      <c r="N68" s="204"/>
    </row>
    <row r="69" spans="1:67" hidden="1">
      <c r="B69" s="490"/>
      <c r="C69" s="491"/>
      <c r="D69" s="491"/>
      <c r="E69" s="491"/>
      <c r="F69" s="491"/>
      <c r="G69" s="492"/>
      <c r="H69" s="249"/>
      <c r="I69" s="250"/>
      <c r="J69" s="227"/>
      <c r="K69" s="207"/>
      <c r="L69" s="207"/>
      <c r="M69" s="207"/>
      <c r="N69" s="204"/>
    </row>
    <row r="70" spans="1:67" hidden="1">
      <c r="B70" s="186"/>
      <c r="C70" s="187"/>
      <c r="D70" s="187"/>
      <c r="E70" s="187"/>
      <c r="F70" s="187"/>
      <c r="G70" s="187"/>
      <c r="H70" s="249"/>
      <c r="I70" s="250"/>
      <c r="J70" s="241"/>
      <c r="K70" s="177"/>
      <c r="L70" s="177"/>
      <c r="M70" s="177"/>
      <c r="N70" s="204"/>
    </row>
    <row r="71" spans="1:67" hidden="1">
      <c r="B71" s="186"/>
      <c r="C71" s="187"/>
      <c r="D71" s="187"/>
      <c r="E71" s="187"/>
      <c r="F71" s="187"/>
      <c r="G71" s="187"/>
      <c r="H71" s="249"/>
      <c r="I71" s="250"/>
      <c r="J71" s="227"/>
      <c r="K71" s="207"/>
      <c r="L71" s="207"/>
      <c r="M71" s="207"/>
      <c r="N71" s="204"/>
    </row>
    <row r="72" spans="1:67" hidden="1">
      <c r="B72" s="186"/>
      <c r="C72" s="187"/>
      <c r="D72" s="187"/>
      <c r="E72" s="187"/>
      <c r="F72" s="187"/>
      <c r="G72" s="187"/>
      <c r="H72" s="249"/>
      <c r="I72" s="250"/>
      <c r="J72" s="241"/>
      <c r="K72" s="177"/>
      <c r="L72" s="177"/>
      <c r="M72" s="177"/>
      <c r="N72" s="204"/>
    </row>
    <row r="73" spans="1:67" hidden="1">
      <c r="B73" s="186"/>
      <c r="C73" s="187"/>
      <c r="D73" s="187"/>
      <c r="E73" s="187"/>
      <c r="F73" s="187"/>
      <c r="G73" s="187"/>
      <c r="H73" s="249"/>
      <c r="I73" s="250"/>
      <c r="J73" s="227"/>
      <c r="K73" s="207"/>
      <c r="L73" s="207"/>
      <c r="M73" s="207"/>
      <c r="N73" s="204"/>
    </row>
    <row r="74" spans="1:67" s="244" customFormat="1">
      <c r="B74" s="511" t="s">
        <v>70</v>
      </c>
      <c r="C74" s="512"/>
      <c r="D74" s="512"/>
      <c r="E74" s="512"/>
      <c r="F74" s="512"/>
      <c r="G74" s="512"/>
      <c r="H74" s="247" t="s">
        <v>71</v>
      </c>
      <c r="I74" s="79" t="s">
        <v>67</v>
      </c>
      <c r="J74" s="247"/>
      <c r="K74" s="78">
        <f>K75+K76+K77</f>
        <v>0</v>
      </c>
      <c r="L74" s="78">
        <f t="shared" ref="L74:M74" si="11">L75+L76+L77</f>
        <v>0</v>
      </c>
      <c r="M74" s="78">
        <f t="shared" si="11"/>
        <v>0</v>
      </c>
      <c r="N74" s="79" t="s">
        <v>21</v>
      </c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</row>
    <row r="75" spans="1:67" hidden="1">
      <c r="B75" s="490"/>
      <c r="C75" s="491"/>
      <c r="D75" s="491"/>
      <c r="E75" s="491"/>
      <c r="F75" s="491"/>
      <c r="G75" s="492"/>
      <c r="H75" s="251"/>
      <c r="I75" s="252"/>
      <c r="J75" s="227"/>
      <c r="K75" s="207"/>
      <c r="L75" s="207"/>
      <c r="M75" s="207"/>
      <c r="N75" s="204"/>
    </row>
    <row r="76" spans="1:67" hidden="1">
      <c r="B76" s="490"/>
      <c r="C76" s="491"/>
      <c r="D76" s="491"/>
      <c r="E76" s="491"/>
      <c r="F76" s="491"/>
      <c r="G76" s="492"/>
      <c r="H76" s="249"/>
      <c r="I76" s="250"/>
      <c r="J76" s="227"/>
      <c r="K76" s="207"/>
      <c r="L76" s="207"/>
      <c r="M76" s="207"/>
      <c r="N76" s="204"/>
    </row>
    <row r="77" spans="1:67" hidden="1">
      <c r="B77" s="490"/>
      <c r="C77" s="491"/>
      <c r="D77" s="491"/>
      <c r="E77" s="491"/>
      <c r="F77" s="491"/>
      <c r="G77" s="492"/>
      <c r="H77" s="249"/>
      <c r="I77" s="250"/>
      <c r="J77" s="227"/>
      <c r="K77" s="207"/>
      <c r="L77" s="207"/>
      <c r="M77" s="207"/>
      <c r="N77" s="204"/>
    </row>
    <row r="78" spans="1:67" s="240" customFormat="1">
      <c r="A78" s="217"/>
      <c r="B78" s="513" t="s">
        <v>72</v>
      </c>
      <c r="C78" s="514"/>
      <c r="D78" s="514"/>
      <c r="E78" s="514"/>
      <c r="F78" s="514"/>
      <c r="G78" s="514"/>
      <c r="H78" s="237" t="s">
        <v>73</v>
      </c>
      <c r="I78" s="238" t="s">
        <v>74</v>
      </c>
      <c r="J78" s="239"/>
      <c r="K78" s="45">
        <f>K79+K81+K83</f>
        <v>225256</v>
      </c>
      <c r="L78" s="45">
        <f>L79+L81+L83</f>
        <v>120396</v>
      </c>
      <c r="M78" s="45">
        <f>M79+M81+M83</f>
        <v>225256</v>
      </c>
      <c r="N78" s="56" t="s">
        <v>21</v>
      </c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</row>
    <row r="79" spans="1:67" s="244" customFormat="1">
      <c r="B79" s="515" t="s">
        <v>75</v>
      </c>
      <c r="C79" s="516"/>
      <c r="D79" s="516"/>
      <c r="E79" s="516"/>
      <c r="F79" s="516"/>
      <c r="G79" s="516"/>
      <c r="H79" s="245" t="s">
        <v>76</v>
      </c>
      <c r="I79" s="246" t="s">
        <v>77</v>
      </c>
      <c r="J79" s="247"/>
      <c r="K79" s="78">
        <f>K80</f>
        <v>225256</v>
      </c>
      <c r="L79" s="78">
        <f t="shared" ref="L79:M79" si="12">L80</f>
        <v>120396</v>
      </c>
      <c r="M79" s="78">
        <f t="shared" si="12"/>
        <v>225256</v>
      </c>
      <c r="N79" s="79" t="s">
        <v>21</v>
      </c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</row>
    <row r="80" spans="1:67">
      <c r="B80" s="490"/>
      <c r="C80" s="491"/>
      <c r="D80" s="491"/>
      <c r="E80" s="491"/>
      <c r="F80" s="491"/>
      <c r="G80" s="492"/>
      <c r="H80" s="209"/>
      <c r="I80" s="185"/>
      <c r="J80" s="241" t="s">
        <v>351</v>
      </c>
      <c r="K80" s="177">
        <f>вспомогательная!K120</f>
        <v>225256</v>
      </c>
      <c r="L80" s="177">
        <f>вспомогательная!L120</f>
        <v>120396</v>
      </c>
      <c r="M80" s="177">
        <f>вспомогательная!M120</f>
        <v>225256</v>
      </c>
      <c r="N80" s="204"/>
    </row>
    <row r="81" spans="1:67" s="244" customFormat="1" ht="25.5" customHeight="1">
      <c r="B81" s="515" t="s">
        <v>78</v>
      </c>
      <c r="C81" s="516"/>
      <c r="D81" s="516"/>
      <c r="E81" s="516"/>
      <c r="F81" s="516"/>
      <c r="G81" s="516"/>
      <c r="H81" s="245" t="s">
        <v>79</v>
      </c>
      <c r="I81" s="246" t="s">
        <v>80</v>
      </c>
      <c r="J81" s="247"/>
      <c r="K81" s="78">
        <f>K82</f>
        <v>0</v>
      </c>
      <c r="L81" s="78">
        <f t="shared" ref="L81:M81" si="13">L82</f>
        <v>0</v>
      </c>
      <c r="M81" s="78">
        <f t="shared" si="13"/>
        <v>0</v>
      </c>
      <c r="N81" s="79" t="s">
        <v>21</v>
      </c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</row>
    <row r="82" spans="1:67" hidden="1">
      <c r="B82" s="490"/>
      <c r="C82" s="491"/>
      <c r="D82" s="491"/>
      <c r="E82" s="491"/>
      <c r="F82" s="491"/>
      <c r="G82" s="492"/>
      <c r="H82" s="209"/>
      <c r="I82" s="185"/>
      <c r="J82" s="227"/>
      <c r="K82" s="207"/>
      <c r="L82" s="207"/>
      <c r="M82" s="207"/>
      <c r="N82" s="204"/>
    </row>
    <row r="83" spans="1:67" s="244" customFormat="1" ht="21.75" customHeight="1">
      <c r="B83" s="515" t="s">
        <v>81</v>
      </c>
      <c r="C83" s="516"/>
      <c r="D83" s="516"/>
      <c r="E83" s="516"/>
      <c r="F83" s="516"/>
      <c r="G83" s="516"/>
      <c r="H83" s="245" t="s">
        <v>82</v>
      </c>
      <c r="I83" s="246" t="s">
        <v>83</v>
      </c>
      <c r="J83" s="247"/>
      <c r="K83" s="78">
        <f>K87</f>
        <v>0</v>
      </c>
      <c r="L83" s="78">
        <f t="shared" ref="L83:M83" si="14">L87</f>
        <v>0</v>
      </c>
      <c r="M83" s="78">
        <f t="shared" si="14"/>
        <v>0</v>
      </c>
      <c r="N83" s="79" t="s">
        <v>21</v>
      </c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</row>
    <row r="84" spans="1:67">
      <c r="B84" s="523" t="s">
        <v>393</v>
      </c>
      <c r="C84" s="524"/>
      <c r="D84" s="524"/>
      <c r="E84" s="524"/>
      <c r="F84" s="524"/>
      <c r="G84" s="525"/>
      <c r="H84" s="237">
        <v>2400</v>
      </c>
      <c r="I84" s="238"/>
      <c r="J84" s="239"/>
      <c r="K84" s="45"/>
      <c r="L84" s="45"/>
      <c r="M84" s="45"/>
      <c r="N84" s="56"/>
    </row>
    <row r="85" spans="1:67">
      <c r="B85" s="526" t="s">
        <v>394</v>
      </c>
      <c r="C85" s="527"/>
      <c r="D85" s="527"/>
      <c r="E85" s="527"/>
      <c r="F85" s="527"/>
      <c r="G85" s="528"/>
      <c r="H85" s="305">
        <v>2410</v>
      </c>
      <c r="I85" s="185"/>
      <c r="J85" s="303"/>
      <c r="K85" s="304"/>
      <c r="L85" s="304"/>
      <c r="M85" s="304"/>
      <c r="N85" s="302"/>
    </row>
    <row r="86" spans="1:67">
      <c r="B86" s="526" t="s">
        <v>395</v>
      </c>
      <c r="C86" s="527"/>
      <c r="D86" s="527"/>
      <c r="E86" s="527"/>
      <c r="F86" s="527"/>
      <c r="G86" s="528"/>
      <c r="H86" s="305">
        <v>2420</v>
      </c>
      <c r="I86" s="185"/>
      <c r="J86" s="303"/>
      <c r="K86" s="304"/>
      <c r="L86" s="304"/>
      <c r="M86" s="304"/>
      <c r="N86" s="302"/>
    </row>
    <row r="87" spans="1:67">
      <c r="B87" s="490"/>
      <c r="C87" s="491"/>
      <c r="D87" s="491"/>
      <c r="E87" s="491"/>
      <c r="F87" s="491"/>
      <c r="G87" s="492"/>
      <c r="H87" s="305"/>
      <c r="I87" s="185"/>
      <c r="J87" s="303"/>
      <c r="K87" s="304"/>
      <c r="L87" s="304"/>
      <c r="M87" s="304"/>
      <c r="N87" s="302"/>
    </row>
    <row r="88" spans="1:67" s="240" customFormat="1">
      <c r="A88" s="217"/>
      <c r="B88" s="513" t="s">
        <v>84</v>
      </c>
      <c r="C88" s="514"/>
      <c r="D88" s="514"/>
      <c r="E88" s="514"/>
      <c r="F88" s="514"/>
      <c r="G88" s="514"/>
      <c r="H88" s="237" t="s">
        <v>85</v>
      </c>
      <c r="I88" s="238" t="s">
        <v>21</v>
      </c>
      <c r="J88" s="239"/>
      <c r="K88" s="45">
        <f>K89</f>
        <v>0</v>
      </c>
      <c r="L88" s="45">
        <f t="shared" ref="L88:M88" si="15">L89</f>
        <v>0</v>
      </c>
      <c r="M88" s="45">
        <f t="shared" si="15"/>
        <v>0</v>
      </c>
      <c r="N88" s="56" t="s">
        <v>21</v>
      </c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</row>
    <row r="89" spans="1:67" ht="40.5" customHeight="1">
      <c r="B89" s="488" t="s">
        <v>86</v>
      </c>
      <c r="C89" s="489"/>
      <c r="D89" s="489"/>
      <c r="E89" s="489"/>
      <c r="F89" s="489"/>
      <c r="G89" s="489"/>
      <c r="H89" s="209" t="s">
        <v>87</v>
      </c>
      <c r="I89" s="185" t="s">
        <v>88</v>
      </c>
      <c r="J89" s="227"/>
      <c r="K89" s="207"/>
      <c r="L89" s="207"/>
      <c r="M89" s="207"/>
      <c r="N89" s="204" t="s">
        <v>21</v>
      </c>
    </row>
    <row r="90" spans="1:67" s="240" customFormat="1">
      <c r="A90" s="217"/>
      <c r="B90" s="513" t="s">
        <v>89</v>
      </c>
      <c r="C90" s="514"/>
      <c r="D90" s="514"/>
      <c r="E90" s="514"/>
      <c r="F90" s="514"/>
      <c r="G90" s="514"/>
      <c r="H90" s="237" t="s">
        <v>90</v>
      </c>
      <c r="I90" s="238" t="s">
        <v>21</v>
      </c>
      <c r="J90" s="239"/>
      <c r="K90" s="45">
        <f>K91+K93+K95+K97</f>
        <v>3346805.9299999997</v>
      </c>
      <c r="L90" s="45">
        <f>L91+L93+L95+L97</f>
        <v>4534443.7299999995</v>
      </c>
      <c r="M90" s="45">
        <f>M91+M93+M95+M97</f>
        <v>3916755.7</v>
      </c>
      <c r="N90" s="56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</row>
    <row r="91" spans="1:67" s="244" customFormat="1">
      <c r="B91" s="515" t="s">
        <v>91</v>
      </c>
      <c r="C91" s="516"/>
      <c r="D91" s="516"/>
      <c r="E91" s="516"/>
      <c r="F91" s="516"/>
      <c r="G91" s="516"/>
      <c r="H91" s="245" t="s">
        <v>92</v>
      </c>
      <c r="I91" s="246" t="s">
        <v>93</v>
      </c>
      <c r="J91" s="247"/>
      <c r="K91" s="78">
        <f>K92</f>
        <v>0</v>
      </c>
      <c r="L91" s="78">
        <f t="shared" ref="L91:M91" si="16">L92</f>
        <v>0</v>
      </c>
      <c r="M91" s="78">
        <f t="shared" si="16"/>
        <v>0</v>
      </c>
      <c r="N91" s="79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</row>
    <row r="92" spans="1:67">
      <c r="B92" s="490"/>
      <c r="C92" s="491"/>
      <c r="D92" s="491"/>
      <c r="E92" s="491"/>
      <c r="F92" s="491"/>
      <c r="G92" s="492"/>
      <c r="H92" s="209"/>
      <c r="I92" s="185"/>
      <c r="J92" s="227"/>
      <c r="K92" s="207"/>
      <c r="L92" s="207"/>
      <c r="M92" s="207"/>
      <c r="N92" s="204"/>
    </row>
    <row r="93" spans="1:67" s="244" customFormat="1" ht="28.5" customHeight="1">
      <c r="B93" s="515" t="s">
        <v>405</v>
      </c>
      <c r="C93" s="516"/>
      <c r="D93" s="516"/>
      <c r="E93" s="516"/>
      <c r="F93" s="516"/>
      <c r="G93" s="516"/>
      <c r="H93" s="247">
        <v>2620</v>
      </c>
      <c r="I93" s="79">
        <v>247</v>
      </c>
      <c r="J93" s="247"/>
      <c r="K93" s="78">
        <f>K94</f>
        <v>561403.67000000004</v>
      </c>
      <c r="L93" s="78">
        <f t="shared" ref="L93:M93" si="17">L94</f>
        <v>577099.67000000004</v>
      </c>
      <c r="M93" s="78">
        <f t="shared" si="17"/>
        <v>592741.67000000004</v>
      </c>
      <c r="N93" s="79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</row>
    <row r="94" spans="1:67" ht="15.75" customHeight="1">
      <c r="B94" s="490"/>
      <c r="C94" s="491"/>
      <c r="D94" s="491"/>
      <c r="E94" s="491"/>
      <c r="F94" s="491"/>
      <c r="G94" s="492"/>
      <c r="H94" s="253"/>
      <c r="I94" s="254"/>
      <c r="J94" s="227">
        <v>223</v>
      </c>
      <c r="K94" s="436">
        <f>вспомогательная!K135</f>
        <v>561403.67000000004</v>
      </c>
      <c r="L94" s="436">
        <f>вспомогательная!L135</f>
        <v>577099.67000000004</v>
      </c>
      <c r="M94" s="436">
        <f>вспомогательная!M135</f>
        <v>592741.67000000004</v>
      </c>
      <c r="N94" s="204"/>
    </row>
    <row r="95" spans="1:67" s="244" customFormat="1" ht="24" customHeight="1">
      <c r="B95" s="515" t="s">
        <v>94</v>
      </c>
      <c r="C95" s="516"/>
      <c r="D95" s="516"/>
      <c r="E95" s="516"/>
      <c r="F95" s="516"/>
      <c r="G95" s="516"/>
      <c r="H95" s="255" t="s">
        <v>95</v>
      </c>
      <c r="I95" s="256" t="s">
        <v>96</v>
      </c>
      <c r="J95" s="247"/>
      <c r="K95" s="78">
        <f>K96</f>
        <v>0</v>
      </c>
      <c r="L95" s="78">
        <f t="shared" ref="L95:M95" si="18">L96</f>
        <v>0</v>
      </c>
      <c r="M95" s="78">
        <f t="shared" si="18"/>
        <v>0</v>
      </c>
      <c r="N95" s="79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</row>
    <row r="96" spans="1:67">
      <c r="B96" s="490"/>
      <c r="C96" s="491"/>
      <c r="D96" s="491"/>
      <c r="E96" s="491"/>
      <c r="F96" s="491"/>
      <c r="G96" s="492"/>
      <c r="H96" s="253"/>
      <c r="I96" s="254"/>
      <c r="J96" s="241" t="s">
        <v>321</v>
      </c>
      <c r="K96" s="177"/>
      <c r="L96" s="177"/>
      <c r="M96" s="177"/>
      <c r="N96" s="204"/>
    </row>
    <row r="97" spans="1:71" s="244" customFormat="1">
      <c r="B97" s="537" t="s">
        <v>97</v>
      </c>
      <c r="C97" s="538"/>
      <c r="D97" s="538"/>
      <c r="E97" s="538"/>
      <c r="F97" s="538"/>
      <c r="G97" s="538"/>
      <c r="H97" s="255" t="s">
        <v>98</v>
      </c>
      <c r="I97" s="256" t="s">
        <v>99</v>
      </c>
      <c r="J97" s="247"/>
      <c r="K97" s="78">
        <f>SUM(K98:K108)</f>
        <v>2785402.26</v>
      </c>
      <c r="L97" s="78">
        <f t="shared" ref="L97:N97" si="19">SUM(L98:L108)</f>
        <v>3957344.0599999996</v>
      </c>
      <c r="M97" s="78">
        <f t="shared" si="19"/>
        <v>3324014.0300000003</v>
      </c>
      <c r="N97" s="248">
        <f t="shared" si="19"/>
        <v>0</v>
      </c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</row>
    <row r="98" spans="1:71" s="217" customFormat="1">
      <c r="B98" s="539" t="s">
        <v>359</v>
      </c>
      <c r="C98" s="540"/>
      <c r="D98" s="540"/>
      <c r="E98" s="540"/>
      <c r="F98" s="540"/>
      <c r="G98" s="540"/>
      <c r="H98" s="249"/>
      <c r="I98" s="250"/>
      <c r="J98" s="241" t="s">
        <v>317</v>
      </c>
      <c r="K98" s="207">
        <f>вспомогательная!K151</f>
        <v>87357</v>
      </c>
      <c r="L98" s="207">
        <f>вспомогательная!L151</f>
        <v>87357</v>
      </c>
      <c r="M98" s="207">
        <f>вспомогательная!M151</f>
        <v>87357</v>
      </c>
      <c r="N98" s="204"/>
      <c r="BP98" s="218"/>
      <c r="BQ98" s="218"/>
      <c r="BR98" s="218"/>
      <c r="BS98" s="218"/>
    </row>
    <row r="99" spans="1:71" s="257" customFormat="1" hidden="1">
      <c r="A99" s="217"/>
      <c r="B99" s="448"/>
      <c r="C99" s="449"/>
      <c r="D99" s="449"/>
      <c r="E99" s="449"/>
      <c r="F99" s="449"/>
      <c r="G99" s="532"/>
      <c r="H99" s="249"/>
      <c r="I99" s="250"/>
      <c r="J99" s="241" t="s">
        <v>318</v>
      </c>
      <c r="K99" s="207">
        <f>вспомогательная!K169</f>
        <v>0</v>
      </c>
      <c r="L99" s="207">
        <f>вспомогательная!L169</f>
        <v>0</v>
      </c>
      <c r="M99" s="207">
        <f>вспомогательная!M169</f>
        <v>0</v>
      </c>
      <c r="N99" s="204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8"/>
      <c r="BQ99" s="218"/>
      <c r="BR99" s="218"/>
      <c r="BS99" s="218"/>
    </row>
    <row r="100" spans="1:71" s="257" customFormat="1">
      <c r="A100" s="217"/>
      <c r="B100" s="448" t="s">
        <v>360</v>
      </c>
      <c r="C100" s="449"/>
      <c r="D100" s="449"/>
      <c r="E100" s="449"/>
      <c r="F100" s="449"/>
      <c r="G100" s="532"/>
      <c r="H100" s="249"/>
      <c r="I100" s="250"/>
      <c r="J100" s="241" t="s">
        <v>319</v>
      </c>
      <c r="K100" s="195">
        <f>вспомогательная!K173</f>
        <v>85879.82</v>
      </c>
      <c r="L100" s="195">
        <f>вспомогательная!L173</f>
        <v>87287.82</v>
      </c>
      <c r="M100" s="195">
        <f>вспомогательная!M173</f>
        <v>87674.82</v>
      </c>
      <c r="N100" s="204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8"/>
      <c r="BQ100" s="218"/>
      <c r="BR100" s="218"/>
      <c r="BS100" s="218"/>
    </row>
    <row r="101" spans="1:71" s="257" customFormat="1">
      <c r="A101" s="217"/>
      <c r="B101" s="208" t="s">
        <v>361</v>
      </c>
      <c r="C101" s="198"/>
      <c r="D101" s="198"/>
      <c r="E101" s="198"/>
      <c r="F101" s="198"/>
      <c r="G101" s="199"/>
      <c r="H101" s="249"/>
      <c r="I101" s="250"/>
      <c r="J101" s="241" t="s">
        <v>320</v>
      </c>
      <c r="K101" s="207">
        <f>вспомогательная!K191</f>
        <v>101190</v>
      </c>
      <c r="L101" s="207">
        <f>вспомогательная!L191</f>
        <v>1401190</v>
      </c>
      <c r="M101" s="207">
        <f>вспомогательная!M191</f>
        <v>699190</v>
      </c>
      <c r="N101" s="204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8"/>
      <c r="BQ101" s="218"/>
      <c r="BR101" s="218"/>
      <c r="BS101" s="218"/>
    </row>
    <row r="102" spans="1:71" s="257" customFormat="1">
      <c r="A102" s="217"/>
      <c r="B102" s="448" t="s">
        <v>362</v>
      </c>
      <c r="C102" s="449"/>
      <c r="D102" s="449"/>
      <c r="E102" s="449"/>
      <c r="F102" s="449"/>
      <c r="G102" s="532"/>
      <c r="H102" s="249"/>
      <c r="I102" s="250"/>
      <c r="J102" s="241" t="s">
        <v>321</v>
      </c>
      <c r="K102" s="207">
        <f>вспомогательная!K209</f>
        <v>2120830.44</v>
      </c>
      <c r="L102" s="207">
        <f>вспомогательная!L209</f>
        <v>2051989.2399999998</v>
      </c>
      <c r="M102" s="207">
        <f>вспомогательная!M209</f>
        <v>2118581.21</v>
      </c>
      <c r="N102" s="204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8"/>
      <c r="BQ102" s="218"/>
      <c r="BR102" s="218"/>
      <c r="BS102" s="218"/>
    </row>
    <row r="103" spans="1:71" s="257" customFormat="1">
      <c r="A103" s="217"/>
      <c r="B103" s="448" t="s">
        <v>363</v>
      </c>
      <c r="C103" s="449"/>
      <c r="D103" s="449"/>
      <c r="E103" s="449"/>
      <c r="F103" s="449"/>
      <c r="G103" s="532"/>
      <c r="H103" s="249"/>
      <c r="I103" s="250"/>
      <c r="J103" s="241">
        <v>228</v>
      </c>
      <c r="K103" s="207">
        <f>вспомогательная!K227</f>
        <v>0</v>
      </c>
      <c r="L103" s="207">
        <f>вспомогательная!L227</f>
        <v>0</v>
      </c>
      <c r="M103" s="207">
        <f>вспомогательная!M227</f>
        <v>0</v>
      </c>
      <c r="N103" s="204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8"/>
      <c r="BQ103" s="218"/>
      <c r="BR103" s="218"/>
      <c r="BS103" s="218"/>
    </row>
    <row r="104" spans="1:71" s="257" customFormat="1">
      <c r="A104" s="217"/>
      <c r="B104" s="448" t="s">
        <v>364</v>
      </c>
      <c r="C104" s="449"/>
      <c r="D104" s="449"/>
      <c r="E104" s="449"/>
      <c r="F104" s="449"/>
      <c r="G104" s="532"/>
      <c r="H104" s="249"/>
      <c r="I104" s="250"/>
      <c r="J104" s="241" t="s">
        <v>322</v>
      </c>
      <c r="K104" s="207">
        <f>вспомогательная!K230</f>
        <v>219000</v>
      </c>
      <c r="L104" s="207">
        <f>вспомогательная!L230</f>
        <v>218375</v>
      </c>
      <c r="M104" s="207">
        <f>вспомогательная!M230</f>
        <v>220066</v>
      </c>
      <c r="N104" s="204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8"/>
      <c r="BQ104" s="218"/>
      <c r="BR104" s="218"/>
      <c r="BS104" s="218"/>
    </row>
    <row r="105" spans="1:71" s="257" customFormat="1" hidden="1">
      <c r="A105" s="217"/>
      <c r="B105" s="448"/>
      <c r="C105" s="449"/>
      <c r="D105" s="449"/>
      <c r="E105" s="449"/>
      <c r="F105" s="449"/>
      <c r="G105" s="532"/>
      <c r="H105" s="249"/>
      <c r="I105" s="250"/>
      <c r="J105" s="241" t="s">
        <v>325</v>
      </c>
      <c r="K105" s="207">
        <f>вспомогательная!K249</f>
        <v>0</v>
      </c>
      <c r="L105" s="207">
        <f>вспомогательная!L249</f>
        <v>0</v>
      </c>
      <c r="M105" s="207">
        <f>вспомогательная!M249</f>
        <v>0</v>
      </c>
      <c r="N105" s="204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8"/>
      <c r="BQ105" s="218"/>
      <c r="BR105" s="218"/>
      <c r="BS105" s="218"/>
    </row>
    <row r="106" spans="1:71" s="257" customFormat="1">
      <c r="A106" s="217"/>
      <c r="B106" s="448" t="s">
        <v>365</v>
      </c>
      <c r="C106" s="449"/>
      <c r="D106" s="449"/>
      <c r="E106" s="449"/>
      <c r="F106" s="449"/>
      <c r="G106" s="532"/>
      <c r="H106" s="249"/>
      <c r="I106" s="250"/>
      <c r="J106" s="241" t="s">
        <v>324</v>
      </c>
      <c r="K106" s="207">
        <f>вспомогательная!K253</f>
        <v>50000</v>
      </c>
      <c r="L106" s="207">
        <f>вспомогательная!L253</f>
        <v>50000</v>
      </c>
      <c r="M106" s="207">
        <f>вспомогательная!M253</f>
        <v>50000</v>
      </c>
      <c r="N106" s="204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8"/>
      <c r="BQ106" s="218"/>
      <c r="BR106" s="218"/>
      <c r="BS106" s="218"/>
    </row>
    <row r="107" spans="1:71" s="257" customFormat="1">
      <c r="A107" s="217"/>
      <c r="B107" s="448" t="s">
        <v>366</v>
      </c>
      <c r="C107" s="449"/>
      <c r="D107" s="449"/>
      <c r="E107" s="449"/>
      <c r="F107" s="449"/>
      <c r="G107" s="532"/>
      <c r="H107" s="249"/>
      <c r="I107" s="250"/>
      <c r="J107" s="241" t="s">
        <v>323</v>
      </c>
      <c r="K107" s="207">
        <f>вспомогательная!K271</f>
        <v>115025</v>
      </c>
      <c r="L107" s="207">
        <f>вспомогательная!L271</f>
        <v>55025</v>
      </c>
      <c r="M107" s="207">
        <f>вспомогательная!M271</f>
        <v>55025</v>
      </c>
      <c r="N107" s="204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8"/>
      <c r="BQ107" s="218"/>
      <c r="BR107" s="218"/>
      <c r="BS107" s="218"/>
    </row>
    <row r="108" spans="1:71" s="257" customFormat="1">
      <c r="A108" s="217"/>
      <c r="B108" s="448" t="s">
        <v>367</v>
      </c>
      <c r="C108" s="449"/>
      <c r="D108" s="449"/>
      <c r="E108" s="449"/>
      <c r="F108" s="449"/>
      <c r="G108" s="532"/>
      <c r="H108" s="249"/>
      <c r="I108" s="250"/>
      <c r="J108" s="241" t="s">
        <v>342</v>
      </c>
      <c r="K108" s="207">
        <f>вспомогательная!K289</f>
        <v>6120</v>
      </c>
      <c r="L108" s="207">
        <f>вспомогательная!L289</f>
        <v>6120</v>
      </c>
      <c r="M108" s="207">
        <f>вспомогательная!M289</f>
        <v>6120</v>
      </c>
      <c r="N108" s="204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8"/>
      <c r="BQ108" s="218"/>
      <c r="BR108" s="218"/>
      <c r="BS108" s="218"/>
    </row>
    <row r="109" spans="1:71">
      <c r="B109" s="448"/>
      <c r="C109" s="449"/>
      <c r="D109" s="449"/>
      <c r="E109" s="449"/>
      <c r="F109" s="449"/>
      <c r="G109" s="532"/>
      <c r="H109" s="249"/>
      <c r="I109" s="250"/>
      <c r="J109" s="227"/>
      <c r="K109" s="207"/>
      <c r="L109" s="207"/>
      <c r="M109" s="207"/>
      <c r="N109" s="204"/>
    </row>
    <row r="110" spans="1:71" s="240" customFormat="1">
      <c r="B110" s="529" t="s">
        <v>329</v>
      </c>
      <c r="C110" s="530"/>
      <c r="D110" s="530"/>
      <c r="E110" s="530"/>
      <c r="F110" s="530"/>
      <c r="G110" s="531"/>
      <c r="H110" s="258" t="s">
        <v>332</v>
      </c>
      <c r="I110" s="259" t="s">
        <v>333</v>
      </c>
      <c r="J110" s="239"/>
      <c r="K110" s="45">
        <f>K112</f>
        <v>0</v>
      </c>
      <c r="L110" s="45">
        <f t="shared" ref="L110:M110" si="20">L112</f>
        <v>0</v>
      </c>
      <c r="M110" s="45">
        <f t="shared" si="20"/>
        <v>0</v>
      </c>
      <c r="N110" s="56"/>
    </row>
    <row r="111" spans="1:71" ht="24.75" customHeight="1">
      <c r="B111" s="526" t="s">
        <v>330</v>
      </c>
      <c r="C111" s="449"/>
      <c r="D111" s="449"/>
      <c r="E111" s="449"/>
      <c r="F111" s="449"/>
      <c r="G111" s="532"/>
      <c r="H111" s="249" t="s">
        <v>334</v>
      </c>
      <c r="I111" s="250" t="s">
        <v>336</v>
      </c>
      <c r="J111" s="227"/>
      <c r="K111" s="207"/>
      <c r="L111" s="207"/>
      <c r="M111" s="207"/>
      <c r="N111" s="204"/>
    </row>
    <row r="112" spans="1:71" ht="23.25" customHeight="1">
      <c r="B112" s="526" t="s">
        <v>331</v>
      </c>
      <c r="C112" s="449"/>
      <c r="D112" s="449"/>
      <c r="E112" s="449"/>
      <c r="F112" s="449"/>
      <c r="G112" s="532"/>
      <c r="H112" s="249" t="s">
        <v>335</v>
      </c>
      <c r="I112" s="250" t="s">
        <v>337</v>
      </c>
      <c r="J112" s="241" t="s">
        <v>338</v>
      </c>
      <c r="K112" s="195">
        <f>вспомогательная!K312</f>
        <v>0</v>
      </c>
      <c r="L112" s="195">
        <f>вспомогательная!L312</f>
        <v>0</v>
      </c>
      <c r="M112" s="195">
        <f>вспомогательная!M312</f>
        <v>0</v>
      </c>
      <c r="N112" s="228"/>
    </row>
    <row r="113" spans="1:67" hidden="1">
      <c r="B113" s="200"/>
      <c r="C113" s="210"/>
      <c r="D113" s="210"/>
      <c r="E113" s="210"/>
      <c r="F113" s="210"/>
      <c r="G113" s="210"/>
      <c r="H113" s="249"/>
      <c r="I113" s="250"/>
      <c r="J113" s="260"/>
      <c r="K113" s="207"/>
      <c r="L113" s="207"/>
      <c r="M113" s="207"/>
      <c r="N113" s="204"/>
    </row>
    <row r="114" spans="1:67" hidden="1">
      <c r="B114" s="200"/>
      <c r="C114" s="210"/>
      <c r="D114" s="210"/>
      <c r="E114" s="210"/>
      <c r="F114" s="210"/>
      <c r="G114" s="210"/>
      <c r="H114" s="249"/>
      <c r="I114" s="250"/>
      <c r="J114" s="227"/>
      <c r="K114" s="207"/>
      <c r="L114" s="207"/>
      <c r="M114" s="207"/>
      <c r="N114" s="204"/>
    </row>
    <row r="115" spans="1:67" s="240" customFormat="1">
      <c r="A115" s="217"/>
      <c r="B115" s="533" t="s">
        <v>101</v>
      </c>
      <c r="C115" s="534"/>
      <c r="D115" s="534"/>
      <c r="E115" s="534"/>
      <c r="F115" s="534"/>
      <c r="G115" s="534"/>
      <c r="H115" s="261" t="s">
        <v>102</v>
      </c>
      <c r="I115" s="262" t="s">
        <v>21</v>
      </c>
      <c r="J115" s="239"/>
      <c r="K115" s="45"/>
      <c r="L115" s="45"/>
      <c r="M115" s="45"/>
      <c r="N115" s="56" t="s">
        <v>21</v>
      </c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</row>
    <row r="116" spans="1:67" ht="15.75" thickBot="1">
      <c r="B116" s="535" t="s">
        <v>103</v>
      </c>
      <c r="C116" s="536"/>
      <c r="D116" s="536"/>
      <c r="E116" s="536"/>
      <c r="F116" s="536"/>
      <c r="G116" s="536"/>
      <c r="H116" s="263" t="s">
        <v>104</v>
      </c>
      <c r="I116" s="264" t="s">
        <v>105</v>
      </c>
      <c r="J116" s="265"/>
      <c r="K116" s="59"/>
      <c r="L116" s="59"/>
      <c r="M116" s="59"/>
      <c r="N116" s="60" t="s">
        <v>21</v>
      </c>
    </row>
  </sheetData>
  <mergeCells count="137">
    <mergeCell ref="B110:G110"/>
    <mergeCell ref="B111:G111"/>
    <mergeCell ref="B112:G112"/>
    <mergeCell ref="B115:G115"/>
    <mergeCell ref="B116:G116"/>
    <mergeCell ref="B97:G97"/>
    <mergeCell ref="B98:G98"/>
    <mergeCell ref="B93:G93"/>
    <mergeCell ref="B94:G94"/>
    <mergeCell ref="B95:G95"/>
    <mergeCell ref="B96:G96"/>
    <mergeCell ref="B99:G99"/>
    <mergeCell ref="B100:G100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87:G87"/>
    <mergeCell ref="B88:G88"/>
    <mergeCell ref="B89:G89"/>
    <mergeCell ref="B90:G90"/>
    <mergeCell ref="B91:G91"/>
    <mergeCell ref="B92:G92"/>
    <mergeCell ref="B80:G80"/>
    <mergeCell ref="B81:G81"/>
    <mergeCell ref="B82:G82"/>
    <mergeCell ref="B83:G83"/>
    <mergeCell ref="B84:G84"/>
    <mergeCell ref="B85:G85"/>
    <mergeCell ref="B86:G86"/>
    <mergeCell ref="B74:G74"/>
    <mergeCell ref="B75:G75"/>
    <mergeCell ref="B76:G76"/>
    <mergeCell ref="B77:G77"/>
    <mergeCell ref="B78:G78"/>
    <mergeCell ref="B79:G79"/>
    <mergeCell ref="B68:G68"/>
    <mergeCell ref="B69:G69"/>
    <mergeCell ref="B60:G60"/>
    <mergeCell ref="B63:G63"/>
    <mergeCell ref="B64:G64"/>
    <mergeCell ref="B65:G65"/>
    <mergeCell ref="B57:G57"/>
    <mergeCell ref="B51:G51"/>
    <mergeCell ref="B52:G52"/>
    <mergeCell ref="B53:G53"/>
    <mergeCell ref="B54:G54"/>
    <mergeCell ref="B55:G55"/>
    <mergeCell ref="B56:G56"/>
    <mergeCell ref="M46:M47"/>
    <mergeCell ref="N46:N47"/>
    <mergeCell ref="B47:G47"/>
    <mergeCell ref="B48:G48"/>
    <mergeCell ref="B49:G49"/>
    <mergeCell ref="B50:G50"/>
    <mergeCell ref="B46:G46"/>
    <mergeCell ref="H46:H47"/>
    <mergeCell ref="I46:I47"/>
    <mergeCell ref="J46:J47"/>
    <mergeCell ref="K46:K47"/>
    <mergeCell ref="L46:L47"/>
    <mergeCell ref="B44:G44"/>
    <mergeCell ref="B45:G45"/>
    <mergeCell ref="L39:L40"/>
    <mergeCell ref="M39:M40"/>
    <mergeCell ref="N39:N40"/>
    <mergeCell ref="B40:G40"/>
    <mergeCell ref="B41:G41"/>
    <mergeCell ref="B42:G42"/>
    <mergeCell ref="H42:H43"/>
    <mergeCell ref="I42:I43"/>
    <mergeCell ref="J42:J43"/>
    <mergeCell ref="K42:K43"/>
    <mergeCell ref="B38:G38"/>
    <mergeCell ref="B39:G39"/>
    <mergeCell ref="H39:H40"/>
    <mergeCell ref="I39:I40"/>
    <mergeCell ref="J39:J40"/>
    <mergeCell ref="K39:K40"/>
    <mergeCell ref="L42:L43"/>
    <mergeCell ref="M42:M43"/>
    <mergeCell ref="N42:N43"/>
    <mergeCell ref="B43:G43"/>
    <mergeCell ref="B35:G35"/>
    <mergeCell ref="B36:G36"/>
    <mergeCell ref="H36:H37"/>
    <mergeCell ref="I36:I37"/>
    <mergeCell ref="J36:J37"/>
    <mergeCell ref="K36:K37"/>
    <mergeCell ref="M30:M31"/>
    <mergeCell ref="N30:N31"/>
    <mergeCell ref="B31:G31"/>
    <mergeCell ref="B32:G32"/>
    <mergeCell ref="B33:G33"/>
    <mergeCell ref="B34:G34"/>
    <mergeCell ref="B30:G30"/>
    <mergeCell ref="H30:H31"/>
    <mergeCell ref="I30:I31"/>
    <mergeCell ref="J30:J31"/>
    <mergeCell ref="K30:K31"/>
    <mergeCell ref="L30:L31"/>
    <mergeCell ref="L36:L37"/>
    <mergeCell ref="M36:M37"/>
    <mergeCell ref="N36:N37"/>
    <mergeCell ref="B37:G37"/>
    <mergeCell ref="B25:G25"/>
    <mergeCell ref="B26:G26"/>
    <mergeCell ref="B27:G27"/>
    <mergeCell ref="B28:G28"/>
    <mergeCell ref="B29:G29"/>
    <mergeCell ref="K9:N9"/>
    <mergeCell ref="N11:N12"/>
    <mergeCell ref="D13:J13"/>
    <mergeCell ref="D14:J14"/>
    <mergeCell ref="D15:J15"/>
    <mergeCell ref="B22:G24"/>
    <mergeCell ref="H22:H24"/>
    <mergeCell ref="I22:I24"/>
    <mergeCell ref="J22:J24"/>
    <mergeCell ref="K22:N22"/>
    <mergeCell ref="B16:D16"/>
    <mergeCell ref="B17:E17"/>
    <mergeCell ref="F17:I17"/>
    <mergeCell ref="D18:I18"/>
    <mergeCell ref="K4:N4"/>
    <mergeCell ref="K5:N5"/>
    <mergeCell ref="K6:N6"/>
    <mergeCell ref="K7:N7"/>
    <mergeCell ref="K8:L8"/>
    <mergeCell ref="M8:N8"/>
    <mergeCell ref="K2:N2"/>
    <mergeCell ref="K3:N3"/>
    <mergeCell ref="N23:N24"/>
  </mergeCells>
  <pageMargins left="0" right="0" top="0" bottom="0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3"/>
  <sheetViews>
    <sheetView topLeftCell="A27" workbookViewId="0">
      <selection activeCell="I50" sqref="I50"/>
    </sheetView>
  </sheetViews>
  <sheetFormatPr defaultRowHeight="15"/>
  <cols>
    <col min="2" max="2" width="19" customWidth="1"/>
    <col min="5" max="5" width="12" customWidth="1"/>
    <col min="6" max="6" width="13.42578125" customWidth="1"/>
    <col min="7" max="7" width="14.42578125" customWidth="1"/>
    <col min="8" max="8" width="13.42578125" customWidth="1"/>
    <col min="9" max="9" width="14.7109375" customWidth="1"/>
    <col min="10" max="10" width="13.28515625" customWidth="1"/>
    <col min="11" max="11" width="13.140625" customWidth="1"/>
    <col min="13" max="13" width="10" bestFit="1" customWidth="1"/>
  </cols>
  <sheetData>
    <row r="1" spans="1:11" ht="15.75">
      <c r="A1" s="770" t="s">
        <v>203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341" t="s">
        <v>193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491</v>
      </c>
      <c r="E8" s="113"/>
      <c r="F8" s="113"/>
      <c r="G8" s="113"/>
      <c r="H8" s="113"/>
      <c r="I8" s="113"/>
      <c r="J8" s="113"/>
      <c r="K8" s="113"/>
    </row>
    <row r="9" spans="1:11">
      <c r="A9" s="314"/>
      <c r="B9" s="314"/>
      <c r="C9" s="314"/>
      <c r="D9" s="113"/>
      <c r="E9" s="113"/>
      <c r="F9" s="113"/>
      <c r="G9" s="113"/>
      <c r="H9" s="113"/>
      <c r="I9" s="113"/>
      <c r="J9" s="113"/>
      <c r="K9" s="113"/>
    </row>
    <row r="10" spans="1:11">
      <c r="A10" s="116" t="s">
        <v>206</v>
      </c>
      <c r="B10" s="117"/>
      <c r="C10" s="117"/>
      <c r="D10" s="117"/>
      <c r="E10" s="113"/>
      <c r="F10" s="113"/>
      <c r="G10" s="113"/>
      <c r="H10" s="113"/>
      <c r="I10" s="113"/>
      <c r="J10" s="113"/>
      <c r="K10" s="113"/>
    </row>
    <row r="11" spans="1:11">
      <c r="A11" s="116" t="s">
        <v>207</v>
      </c>
      <c r="B11" s="117"/>
      <c r="C11" s="117"/>
      <c r="D11" s="117"/>
      <c r="E11" s="113"/>
      <c r="F11" s="113"/>
      <c r="G11" s="113"/>
      <c r="H11" s="113"/>
      <c r="I11" s="113"/>
      <c r="J11" s="113"/>
      <c r="K11" s="113"/>
    </row>
    <row r="12" spans="1:11">
      <c r="A12" s="18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4.75" customHeight="1">
      <c r="A13" s="766"/>
      <c r="B13" s="767" t="s">
        <v>208</v>
      </c>
      <c r="C13" s="767" t="s">
        <v>209</v>
      </c>
      <c r="D13" s="767" t="s">
        <v>210</v>
      </c>
      <c r="E13" s="767"/>
      <c r="F13" s="767"/>
      <c r="G13" s="767"/>
      <c r="H13" s="767" t="s">
        <v>211</v>
      </c>
      <c r="I13" s="767" t="s">
        <v>529</v>
      </c>
      <c r="J13" s="767" t="s">
        <v>309</v>
      </c>
      <c r="K13" s="767" t="s">
        <v>530</v>
      </c>
    </row>
    <row r="14" spans="1:11">
      <c r="A14" s="766"/>
      <c r="B14" s="767"/>
      <c r="C14" s="767"/>
      <c r="D14" s="766" t="s">
        <v>212</v>
      </c>
      <c r="E14" s="316" t="s">
        <v>29</v>
      </c>
      <c r="F14" s="316"/>
      <c r="G14" s="316"/>
      <c r="H14" s="767"/>
      <c r="I14" s="767"/>
      <c r="J14" s="767"/>
      <c r="K14" s="767"/>
    </row>
    <row r="15" spans="1:11" ht="36.75">
      <c r="A15" s="766"/>
      <c r="B15" s="767"/>
      <c r="C15" s="767"/>
      <c r="D15" s="766"/>
      <c r="E15" s="120" t="s">
        <v>213</v>
      </c>
      <c r="F15" s="120" t="s">
        <v>214</v>
      </c>
      <c r="G15" s="120" t="s">
        <v>215</v>
      </c>
      <c r="H15" s="767"/>
      <c r="I15" s="767"/>
      <c r="J15" s="767"/>
      <c r="K15" s="767"/>
    </row>
    <row r="16" spans="1:11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  <c r="H16" s="122">
        <v>8</v>
      </c>
      <c r="I16" s="122">
        <v>9</v>
      </c>
      <c r="J16" s="122">
        <v>10</v>
      </c>
      <c r="K16" s="122">
        <v>11</v>
      </c>
    </row>
    <row r="17" spans="1:12">
      <c r="A17" s="122"/>
      <c r="B17" s="122" t="s">
        <v>482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2" ht="24.75">
      <c r="A18" s="124">
        <v>1</v>
      </c>
      <c r="B18" s="120" t="s">
        <v>305</v>
      </c>
      <c r="C18" s="343">
        <v>2</v>
      </c>
      <c r="D18" s="343">
        <f>E18+F18+G18</f>
        <v>40677.919999999998</v>
      </c>
      <c r="E18" s="343">
        <v>39607.589999999997</v>
      </c>
      <c r="F18" s="343"/>
      <c r="G18" s="343">
        <v>1070.33</v>
      </c>
      <c r="H18" s="125"/>
      <c r="I18" s="169">
        <f>ROUND((C18*D18+H18)*7,0)</f>
        <v>569491</v>
      </c>
      <c r="J18" s="343">
        <f>I28/3*1.069*8</f>
        <v>695756.51199999999</v>
      </c>
      <c r="K18" s="343">
        <f>J28/4*1.007469*8</f>
        <v>700953.11738812795</v>
      </c>
    </row>
    <row r="19" spans="1:12" ht="17.25" customHeight="1">
      <c r="A19" s="124">
        <v>2</v>
      </c>
      <c r="B19" s="120" t="s">
        <v>306</v>
      </c>
      <c r="C19" s="343">
        <v>21.44</v>
      </c>
      <c r="D19" s="343">
        <f>E19+F19+G19</f>
        <v>18586.689999999999</v>
      </c>
      <c r="E19" s="343">
        <v>12389.87</v>
      </c>
      <c r="F19" s="343">
        <f>4882.07+4.66</f>
        <v>4886.7299999999996</v>
      </c>
      <c r="G19" s="343">
        <v>1310.0899999999999</v>
      </c>
      <c r="H19" s="125"/>
      <c r="I19" s="169">
        <f>ROUND((C19*D19+H19)*7,0)+3</f>
        <v>2789493</v>
      </c>
      <c r="J19" s="343">
        <f>I29/3*1.069*8+95.05</f>
        <v>3398651.2979999995</v>
      </c>
      <c r="K19" s="343">
        <f>J29/4*1*8-0.17</f>
        <v>3500610.6669399994</v>
      </c>
    </row>
    <row r="20" spans="1:12">
      <c r="A20" s="124">
        <v>3</v>
      </c>
      <c r="B20" s="120" t="s">
        <v>307</v>
      </c>
      <c r="C20" s="343">
        <v>1.5</v>
      </c>
      <c r="D20" s="343">
        <f>E20+F20+G20</f>
        <v>13090.77</v>
      </c>
      <c r="E20" s="343">
        <v>4635</v>
      </c>
      <c r="F20" s="343">
        <v>8455.77</v>
      </c>
      <c r="G20" s="343"/>
      <c r="H20" s="125"/>
      <c r="I20" s="169">
        <f>ROUND((C20*D20+H20)*7,0)</f>
        <v>137453</v>
      </c>
      <c r="J20" s="343">
        <f>I30/3*1.069*8</f>
        <v>167927.07199999999</v>
      </c>
      <c r="K20" s="343">
        <f>J30/4*1*8</f>
        <v>172964.88415999999</v>
      </c>
    </row>
    <row r="21" spans="1:12">
      <c r="A21" s="124"/>
      <c r="B21" s="380" t="s">
        <v>493</v>
      </c>
      <c r="C21" s="381">
        <f>C18+C19+C20</f>
        <v>24.94</v>
      </c>
      <c r="D21" s="343"/>
      <c r="E21" s="343"/>
      <c r="F21" s="343"/>
      <c r="G21" s="343"/>
      <c r="H21" s="125"/>
      <c r="I21" s="381">
        <f>I18+I19+I20</f>
        <v>3496437</v>
      </c>
      <c r="J21" s="169">
        <f>J18+J19+J20</f>
        <v>4262334.8819999993</v>
      </c>
      <c r="K21" s="343">
        <f t="shared" ref="K21" si="0">K18+K19+K20</f>
        <v>4374528.6684881272</v>
      </c>
    </row>
    <row r="22" spans="1:12">
      <c r="A22" s="122"/>
      <c r="B22" s="122" t="s">
        <v>575</v>
      </c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2" ht="24.75">
      <c r="A23" s="124">
        <v>1</v>
      </c>
      <c r="B23" s="120" t="s">
        <v>305</v>
      </c>
      <c r="C23" s="343">
        <v>2</v>
      </c>
      <c r="D23" s="343">
        <f>E23+F23+G23</f>
        <v>40677.919999999998</v>
      </c>
      <c r="E23" s="343">
        <v>39607.589999999997</v>
      </c>
      <c r="F23" s="343"/>
      <c r="G23" s="343">
        <v>1070.33</v>
      </c>
      <c r="H23" s="125"/>
      <c r="I23" s="169">
        <f>ROUND((C23*D23+H23)*1,0)</f>
        <v>81356</v>
      </c>
      <c r="J23" s="343"/>
      <c r="K23" s="343"/>
    </row>
    <row r="24" spans="1:12">
      <c r="A24" s="124">
        <v>2</v>
      </c>
      <c r="B24" s="120" t="s">
        <v>306</v>
      </c>
      <c r="C24" s="343">
        <v>21.44</v>
      </c>
      <c r="D24" s="343">
        <f>E24+F24+G24</f>
        <v>23144.339999999997</v>
      </c>
      <c r="E24" s="343">
        <v>12389.87</v>
      </c>
      <c r="F24" s="343">
        <f>4882.07+4.66</f>
        <v>4886.7299999999996</v>
      </c>
      <c r="G24" s="343">
        <f>1310.09+4557.65</f>
        <v>5867.74</v>
      </c>
      <c r="H24" s="125"/>
      <c r="I24" s="169">
        <f>ROUND((C24*D24+H24)*1,0)</f>
        <v>496215</v>
      </c>
      <c r="J24" s="343"/>
      <c r="K24" s="343"/>
    </row>
    <row r="25" spans="1:12">
      <c r="A25" s="124">
        <v>3</v>
      </c>
      <c r="B25" s="120" t="s">
        <v>307</v>
      </c>
      <c r="C25" s="343">
        <v>1.5</v>
      </c>
      <c r="D25" s="343">
        <f>E25+F25+G25</f>
        <v>13090.77</v>
      </c>
      <c r="E25" s="343">
        <v>4635</v>
      </c>
      <c r="F25" s="343">
        <v>8455.77</v>
      </c>
      <c r="G25" s="343"/>
      <c r="H25" s="125"/>
      <c r="I25" s="169">
        <f>ROUND((C25*D25+H25)*1,0)</f>
        <v>19636</v>
      </c>
      <c r="J25" s="343"/>
      <c r="K25" s="343"/>
    </row>
    <row r="26" spans="1:12">
      <c r="A26" s="124"/>
      <c r="B26" s="380" t="s">
        <v>493</v>
      </c>
      <c r="C26" s="381">
        <f>C23+C24+C25</f>
        <v>24.94</v>
      </c>
      <c r="D26" s="343"/>
      <c r="E26" s="343"/>
      <c r="F26" s="343"/>
      <c r="G26" s="343"/>
      <c r="H26" s="125"/>
      <c r="I26" s="381">
        <f>I23+I24+I25</f>
        <v>597207</v>
      </c>
      <c r="J26" s="169"/>
      <c r="K26" s="343"/>
    </row>
    <row r="27" spans="1:12">
      <c r="A27" s="122"/>
      <c r="B27" s="122" t="s">
        <v>500</v>
      </c>
      <c r="C27" s="122"/>
      <c r="D27" s="122"/>
      <c r="E27" s="122"/>
      <c r="F27" s="122"/>
      <c r="G27" s="122"/>
      <c r="H27" s="122"/>
      <c r="I27" s="122"/>
      <c r="J27" s="382"/>
      <c r="K27" s="382"/>
      <c r="L27" s="387"/>
    </row>
    <row r="28" spans="1:12" ht="24.75">
      <c r="A28" s="124">
        <v>1</v>
      </c>
      <c r="B28" s="120" t="s">
        <v>305</v>
      </c>
      <c r="C28" s="343">
        <v>2</v>
      </c>
      <c r="D28" s="343">
        <f>E28+F28+G28</f>
        <v>40677.919999999998</v>
      </c>
      <c r="E28" s="343">
        <v>39607.589999999997</v>
      </c>
      <c r="F28" s="343"/>
      <c r="G28" s="343">
        <v>1070.33</v>
      </c>
      <c r="H28" s="125"/>
      <c r="I28" s="169">
        <f>ROUND((C28*D28)*3,0)</f>
        <v>244068</v>
      </c>
      <c r="J28" s="343">
        <f>J18/8*4</f>
        <v>347878.25599999999</v>
      </c>
      <c r="K28" s="343">
        <f>K18/8*4</f>
        <v>350476.55869406398</v>
      </c>
    </row>
    <row r="29" spans="1:12">
      <c r="A29" s="124">
        <v>2</v>
      </c>
      <c r="B29" s="120" t="s">
        <v>306</v>
      </c>
      <c r="C29" s="343">
        <v>21.44</v>
      </c>
      <c r="D29" s="343">
        <f>E29+F29+G29</f>
        <v>18535.399999999998</v>
      </c>
      <c r="E29" s="343">
        <v>12389.87</v>
      </c>
      <c r="F29" s="343">
        <f>4882.07+4.66</f>
        <v>4886.7299999999996</v>
      </c>
      <c r="G29" s="343">
        <v>1258.8</v>
      </c>
      <c r="H29" s="125"/>
      <c r="I29" s="169">
        <f>ROUND((C29*D29+H29)*3,0)</f>
        <v>1192197</v>
      </c>
      <c r="J29" s="343">
        <f>J19/8*1.03*4</f>
        <v>1750305.4184699997</v>
      </c>
      <c r="K29" s="343">
        <f>K19/8*4</f>
        <v>1750305.3334699997</v>
      </c>
    </row>
    <row r="30" spans="1:12">
      <c r="A30" s="124">
        <v>3</v>
      </c>
      <c r="B30" s="120" t="s">
        <v>307</v>
      </c>
      <c r="C30" s="343">
        <v>1.5</v>
      </c>
      <c r="D30" s="343">
        <f>E30+F30+G30</f>
        <v>13090.77</v>
      </c>
      <c r="E30" s="343">
        <v>4635</v>
      </c>
      <c r="F30" s="343">
        <v>8455.77</v>
      </c>
      <c r="G30" s="343"/>
      <c r="H30" s="125"/>
      <c r="I30" s="169">
        <f>ROUND((C30*D30+H30)*3,0)</f>
        <v>58908</v>
      </c>
      <c r="J30" s="343">
        <f>J20/8*1.03*4</f>
        <v>86482.442079999993</v>
      </c>
      <c r="K30" s="343">
        <f>K20/8*4</f>
        <v>86482.442079999993</v>
      </c>
    </row>
    <row r="31" spans="1:12">
      <c r="A31" s="124"/>
      <c r="B31" s="380" t="s">
        <v>493</v>
      </c>
      <c r="C31" s="381">
        <f>C28+C29+C30</f>
        <v>24.94</v>
      </c>
      <c r="D31" s="343"/>
      <c r="E31" s="343"/>
      <c r="F31" s="343"/>
      <c r="G31" s="343"/>
      <c r="H31" s="125"/>
      <c r="I31" s="381">
        <f>I28+I29+I30</f>
        <v>1495173</v>
      </c>
      <c r="J31" s="169">
        <f>J28+J29+J30</f>
        <v>2184666.1165499995</v>
      </c>
      <c r="K31" s="343">
        <f>K28+K29+K30</f>
        <v>2187264.3342440636</v>
      </c>
    </row>
    <row r="32" spans="1:12">
      <c r="A32" s="122"/>
      <c r="B32" s="122" t="s">
        <v>501</v>
      </c>
      <c r="C32" s="122"/>
      <c r="D32" s="122"/>
      <c r="E32" s="122"/>
      <c r="F32" s="122"/>
      <c r="G32" s="122"/>
      <c r="H32" s="122"/>
      <c r="I32" s="122"/>
      <c r="J32" s="382"/>
      <c r="K32" s="122"/>
    </row>
    <row r="33" spans="1:11" ht="24.75">
      <c r="A33" s="124">
        <v>1</v>
      </c>
      <c r="B33" s="120" t="s">
        <v>305</v>
      </c>
      <c r="C33" s="343">
        <v>2</v>
      </c>
      <c r="D33" s="343">
        <f>E33+F33+G33</f>
        <v>32159.089999999997</v>
      </c>
      <c r="E33" s="343">
        <f>39607.59-2448.5-5000</f>
        <v>32159.089999999997</v>
      </c>
      <c r="F33" s="343"/>
      <c r="G33" s="343"/>
      <c r="H33" s="125"/>
      <c r="I33" s="169">
        <f>ROUND((C33*D33)*1,0)</f>
        <v>64318</v>
      </c>
      <c r="J33" s="343"/>
      <c r="K33" s="125"/>
    </row>
    <row r="34" spans="1:11">
      <c r="A34" s="124">
        <v>2</v>
      </c>
      <c r="B34" s="120" t="s">
        <v>306</v>
      </c>
      <c r="C34" s="343">
        <v>21.44</v>
      </c>
      <c r="D34" s="343">
        <f>E34+F34+G34</f>
        <v>8298.6700000000019</v>
      </c>
      <c r="E34" s="343">
        <f>12389.87-4091.2</f>
        <v>8298.6700000000019</v>
      </c>
      <c r="F34" s="343"/>
      <c r="G34" s="343"/>
      <c r="H34" s="125"/>
      <c r="I34" s="169">
        <f>ROUND((C34*D34+H34)*1,0)</f>
        <v>177923</v>
      </c>
      <c r="J34" s="343"/>
      <c r="K34" s="125"/>
    </row>
    <row r="35" spans="1:11">
      <c r="A35" s="124">
        <v>3</v>
      </c>
      <c r="B35" s="120" t="s">
        <v>307</v>
      </c>
      <c r="C35" s="343">
        <v>1.5</v>
      </c>
      <c r="D35" s="343">
        <f>E35+F35+G35</f>
        <v>4635</v>
      </c>
      <c r="E35" s="343">
        <v>4635</v>
      </c>
      <c r="F35" s="343"/>
      <c r="G35" s="343"/>
      <c r="H35" s="125"/>
      <c r="I35" s="169">
        <f>ROUND((C35*D35+H35)*1,0)</f>
        <v>6953</v>
      </c>
      <c r="J35" s="343"/>
      <c r="K35" s="169"/>
    </row>
    <row r="36" spans="1:11">
      <c r="A36" s="124"/>
      <c r="B36" s="380" t="s">
        <v>493</v>
      </c>
      <c r="C36" s="381">
        <f>C33+C34+C35</f>
        <v>24.94</v>
      </c>
      <c r="D36" s="343"/>
      <c r="E36" s="343"/>
      <c r="F36" s="343"/>
      <c r="G36" s="343"/>
      <c r="H36" s="125"/>
      <c r="I36" s="381">
        <f>I33+I34+I35</f>
        <v>249194</v>
      </c>
      <c r="J36" s="169"/>
      <c r="K36" s="169"/>
    </row>
    <row r="37" spans="1:11" hidden="1">
      <c r="A37" s="124"/>
      <c r="B37" s="122"/>
      <c r="C37" s="122"/>
      <c r="D37" s="122"/>
      <c r="E37" s="122"/>
      <c r="F37" s="122"/>
      <c r="G37" s="122"/>
      <c r="H37" s="125"/>
      <c r="I37" s="169"/>
      <c r="J37" s="343"/>
      <c r="K37" s="169"/>
    </row>
    <row r="38" spans="1:11" hidden="1">
      <c r="A38" s="124"/>
      <c r="B38" s="120"/>
      <c r="C38" s="343"/>
      <c r="D38" s="343"/>
      <c r="E38" s="343"/>
      <c r="F38" s="343"/>
      <c r="G38" s="343"/>
      <c r="H38" s="125"/>
      <c r="I38" s="169"/>
      <c r="J38" s="343"/>
      <c r="K38" s="169"/>
    </row>
    <row r="39" spans="1:11" hidden="1">
      <c r="A39" s="124"/>
      <c r="B39" s="120"/>
      <c r="C39" s="343"/>
      <c r="D39" s="343"/>
      <c r="E39" s="343"/>
      <c r="F39" s="343"/>
      <c r="G39" s="343"/>
      <c r="H39" s="125"/>
      <c r="I39" s="169"/>
      <c r="J39" s="169"/>
      <c r="K39" s="169"/>
    </row>
    <row r="40" spans="1:11" hidden="1">
      <c r="A40" s="124"/>
      <c r="B40" s="120"/>
      <c r="C40" s="343"/>
      <c r="D40" s="343"/>
      <c r="E40" s="343"/>
      <c r="F40" s="343"/>
      <c r="G40" s="343"/>
      <c r="H40" s="125"/>
      <c r="I40" s="169"/>
      <c r="J40" s="169"/>
      <c r="K40" s="169"/>
    </row>
    <row r="41" spans="1:11" hidden="1">
      <c r="A41" s="124"/>
      <c r="B41" s="380"/>
      <c r="C41" s="381"/>
      <c r="D41" s="383"/>
      <c r="E41" s="383"/>
      <c r="F41" s="383"/>
      <c r="G41" s="383"/>
      <c r="H41" s="384"/>
      <c r="I41" s="381"/>
      <c r="J41" s="169"/>
      <c r="K41" s="169"/>
    </row>
    <row r="42" spans="1:11" hidden="1">
      <c r="A42" s="124"/>
      <c r="B42" s="122"/>
      <c r="C42" s="122"/>
      <c r="D42" s="122"/>
      <c r="E42" s="122"/>
      <c r="F42" s="122"/>
      <c r="G42" s="122"/>
      <c r="H42" s="125"/>
      <c r="I42" s="169"/>
      <c r="J42" s="169"/>
      <c r="K42" s="169"/>
    </row>
    <row r="43" spans="1:11" hidden="1">
      <c r="A43" s="124"/>
      <c r="B43" s="120"/>
      <c r="C43" s="343"/>
      <c r="D43" s="343"/>
      <c r="E43" s="343"/>
      <c r="F43" s="343"/>
      <c r="G43" s="343"/>
      <c r="H43" s="125"/>
      <c r="I43" s="169"/>
      <c r="J43" s="169"/>
      <c r="K43" s="169"/>
    </row>
    <row r="44" spans="1:11" hidden="1">
      <c r="A44" s="124"/>
      <c r="B44" s="120"/>
      <c r="C44" s="343"/>
      <c r="D44" s="343"/>
      <c r="E44" s="343"/>
      <c r="F44" s="343"/>
      <c r="G44" s="343"/>
      <c r="H44" s="125"/>
      <c r="I44" s="169"/>
      <c r="J44" s="169"/>
      <c r="K44" s="169"/>
    </row>
    <row r="45" spans="1:11" hidden="1">
      <c r="A45" s="124"/>
      <c r="B45" s="120"/>
      <c r="C45" s="343"/>
      <c r="D45" s="343"/>
      <c r="E45" s="343"/>
      <c r="F45" s="343"/>
      <c r="G45" s="343"/>
      <c r="H45" s="125"/>
      <c r="I45" s="169"/>
      <c r="J45" s="169"/>
      <c r="K45" s="169"/>
    </row>
    <row r="46" spans="1:11" hidden="1">
      <c r="A46" s="124"/>
      <c r="B46" s="380"/>
      <c r="C46" s="381"/>
      <c r="D46" s="383"/>
      <c r="E46" s="383"/>
      <c r="F46" s="383"/>
      <c r="G46" s="383"/>
      <c r="H46" s="384"/>
      <c r="I46" s="381"/>
      <c r="J46" s="169"/>
      <c r="K46" s="169"/>
    </row>
    <row r="47" spans="1:11">
      <c r="A47" s="124"/>
      <c r="B47" s="776" t="s">
        <v>494</v>
      </c>
      <c r="C47" s="777"/>
      <c r="D47" s="777"/>
      <c r="E47" s="777"/>
      <c r="F47" s="777"/>
      <c r="G47" s="777"/>
      <c r="H47" s="747"/>
      <c r="I47" s="169">
        <v>-26031</v>
      </c>
      <c r="J47" s="169"/>
      <c r="K47" s="169"/>
    </row>
    <row r="48" spans="1:11">
      <c r="A48" s="124"/>
      <c r="B48" s="776"/>
      <c r="C48" s="777"/>
      <c r="D48" s="777"/>
      <c r="E48" s="777"/>
      <c r="F48" s="777"/>
      <c r="G48" s="777"/>
      <c r="H48" s="747"/>
      <c r="I48" s="169"/>
      <c r="J48" s="169"/>
      <c r="K48" s="169"/>
    </row>
    <row r="49" spans="1:13">
      <c r="A49" s="166" t="s">
        <v>216</v>
      </c>
      <c r="B49" s="167"/>
      <c r="C49" s="167"/>
      <c r="D49" s="167"/>
      <c r="E49" s="167"/>
      <c r="F49" s="167"/>
      <c r="G49" s="167"/>
      <c r="H49" s="167"/>
      <c r="I49" s="170">
        <f>I21+I31+I36+I41+I46+I47+I48+I26</f>
        <v>5811980</v>
      </c>
      <c r="J49" s="170">
        <f>J21+J31+J36+J41</f>
        <v>6447000.9985499987</v>
      </c>
      <c r="K49" s="170">
        <f>K21+K31+K36+K41</f>
        <v>6561793.0027321912</v>
      </c>
      <c r="M49" s="387"/>
    </row>
    <row r="50" spans="1:13">
      <c r="A50" s="18"/>
      <c r="B50" s="113"/>
      <c r="C50" s="113"/>
      <c r="D50" s="113"/>
      <c r="E50" s="113"/>
      <c r="F50" s="113"/>
      <c r="G50" s="113"/>
      <c r="H50" s="113"/>
      <c r="I50" s="345">
        <v>5811980</v>
      </c>
      <c r="J50" s="345"/>
      <c r="K50" s="345"/>
    </row>
    <row r="51" spans="1:13" hidden="1">
      <c r="A51" s="67" t="s">
        <v>217</v>
      </c>
      <c r="B51" s="117"/>
      <c r="C51" s="117"/>
      <c r="D51" s="117"/>
      <c r="E51" s="117"/>
      <c r="F51" s="117"/>
      <c r="G51" s="117"/>
      <c r="H51" s="117"/>
      <c r="I51" s="117"/>
      <c r="J51" s="362"/>
      <c r="K51" s="362"/>
      <c r="M51" s="387"/>
    </row>
    <row r="52" spans="1:13" hidden="1">
      <c r="A52" s="18"/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1:13" ht="84.75" hidden="1">
      <c r="A53" s="126" t="s">
        <v>218</v>
      </c>
      <c r="B53" s="120" t="s">
        <v>219</v>
      </c>
      <c r="C53" s="120" t="s">
        <v>220</v>
      </c>
      <c r="D53" s="120" t="s">
        <v>221</v>
      </c>
      <c r="E53" s="120" t="s">
        <v>222</v>
      </c>
      <c r="F53" s="120" t="s">
        <v>223</v>
      </c>
      <c r="G53" s="120" t="s">
        <v>223</v>
      </c>
      <c r="H53" s="120" t="s">
        <v>223</v>
      </c>
      <c r="I53" s="127"/>
      <c r="J53" s="127"/>
      <c r="K53" s="127"/>
    </row>
    <row r="54" spans="1:13" hidden="1">
      <c r="A54" s="122">
        <v>1</v>
      </c>
      <c r="B54" s="122">
        <v>2</v>
      </c>
      <c r="C54" s="122">
        <v>3</v>
      </c>
      <c r="D54" s="122">
        <v>4</v>
      </c>
      <c r="E54" s="122">
        <v>5</v>
      </c>
      <c r="F54" s="122">
        <v>6</v>
      </c>
      <c r="G54" s="122">
        <v>7</v>
      </c>
      <c r="H54" s="122">
        <v>8</v>
      </c>
      <c r="I54" s="315"/>
      <c r="J54" s="315"/>
      <c r="K54" s="315"/>
    </row>
    <row r="55" spans="1:13" hidden="1">
      <c r="A55" s="124"/>
      <c r="B55" s="125"/>
      <c r="C55" s="125"/>
      <c r="D55" s="125"/>
      <c r="E55" s="125"/>
      <c r="F55" s="125"/>
      <c r="G55" s="125"/>
      <c r="H55" s="125"/>
      <c r="I55" s="113"/>
      <c r="J55" s="113"/>
      <c r="K55" s="113"/>
    </row>
    <row r="56" spans="1:13" hidden="1">
      <c r="A56" s="124"/>
      <c r="B56" s="125"/>
      <c r="C56" s="125"/>
      <c r="D56" s="125"/>
      <c r="E56" s="125"/>
      <c r="F56" s="125"/>
      <c r="G56" s="125"/>
      <c r="H56" s="125"/>
      <c r="I56" s="113"/>
      <c r="J56" s="113"/>
      <c r="K56" s="113"/>
    </row>
    <row r="57" spans="1:13" hidden="1">
      <c r="A57" s="124"/>
      <c r="B57" s="125"/>
      <c r="C57" s="125"/>
      <c r="D57" s="125"/>
      <c r="E57" s="125"/>
      <c r="F57" s="125"/>
      <c r="G57" s="125"/>
      <c r="H57" s="125"/>
      <c r="I57" s="113"/>
      <c r="J57" s="113"/>
      <c r="K57" s="113"/>
    </row>
    <row r="58" spans="1:13" hidden="1">
      <c r="A58" s="124"/>
      <c r="B58" s="125"/>
      <c r="C58" s="125"/>
      <c r="D58" s="125"/>
      <c r="E58" s="125"/>
      <c r="F58" s="125"/>
      <c r="G58" s="125"/>
      <c r="H58" s="125"/>
      <c r="I58" s="113"/>
      <c r="J58" s="113"/>
      <c r="K58" s="113"/>
    </row>
    <row r="59" spans="1:13" hidden="1">
      <c r="A59" s="124"/>
      <c r="B59" s="125"/>
      <c r="C59" s="125"/>
      <c r="D59" s="125"/>
      <c r="E59" s="125"/>
      <c r="F59" s="125"/>
      <c r="G59" s="125"/>
      <c r="H59" s="125"/>
      <c r="I59" s="113"/>
      <c r="J59" s="113"/>
      <c r="K59" s="113"/>
    </row>
    <row r="60" spans="1:13" hidden="1">
      <c r="A60" s="124"/>
      <c r="B60" s="125"/>
      <c r="C60" s="125"/>
      <c r="D60" s="125"/>
      <c r="E60" s="125"/>
      <c r="F60" s="125"/>
      <c r="G60" s="125"/>
      <c r="H60" s="125"/>
      <c r="I60" s="113"/>
      <c r="J60" s="113"/>
      <c r="K60" s="113"/>
    </row>
    <row r="61" spans="1:13" hidden="1">
      <c r="A61" s="124"/>
      <c r="B61" s="125"/>
      <c r="C61" s="125"/>
      <c r="D61" s="125"/>
      <c r="E61" s="125"/>
      <c r="F61" s="125"/>
      <c r="G61" s="125"/>
      <c r="H61" s="125"/>
      <c r="I61" s="113"/>
      <c r="J61" s="113"/>
      <c r="K61" s="113"/>
    </row>
    <row r="62" spans="1:13" hidden="1">
      <c r="A62" s="18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3">
      <c r="A63" s="763" t="s">
        <v>224</v>
      </c>
      <c r="B63" s="763"/>
      <c r="C63" s="763"/>
      <c r="D63" s="763"/>
      <c r="E63" s="763"/>
      <c r="F63" s="763"/>
      <c r="G63" s="763"/>
      <c r="H63" s="763"/>
      <c r="I63" s="356"/>
      <c r="J63" s="113"/>
      <c r="K63" s="113"/>
    </row>
    <row r="64" spans="1:13">
      <c r="A64" s="18"/>
      <c r="B64" s="113"/>
      <c r="C64" s="113"/>
      <c r="D64" s="113"/>
      <c r="E64" s="113"/>
      <c r="F64" s="113"/>
      <c r="G64" s="113"/>
      <c r="H64" s="113"/>
      <c r="I64" s="113"/>
      <c r="J64" s="113"/>
      <c r="K64" s="113"/>
    </row>
    <row r="65" spans="1:11" ht="60.75">
      <c r="A65" s="126" t="s">
        <v>218</v>
      </c>
      <c r="B65" s="733" t="s">
        <v>225</v>
      </c>
      <c r="C65" s="764"/>
      <c r="D65" s="734"/>
      <c r="E65" s="120" t="s">
        <v>226</v>
      </c>
      <c r="F65" s="120" t="s">
        <v>301</v>
      </c>
      <c r="G65" s="120" t="s">
        <v>302</v>
      </c>
      <c r="H65" s="120" t="s">
        <v>421</v>
      </c>
      <c r="I65" s="113"/>
      <c r="J65" s="113"/>
      <c r="K65" s="113"/>
    </row>
    <row r="66" spans="1:11">
      <c r="A66" s="122">
        <v>1</v>
      </c>
      <c r="B66" s="725">
        <v>2</v>
      </c>
      <c r="C66" s="765"/>
      <c r="D66" s="726"/>
      <c r="E66" s="122">
        <v>3</v>
      </c>
      <c r="F66" s="122">
        <v>4</v>
      </c>
      <c r="G66" s="122">
        <v>5</v>
      </c>
      <c r="H66" s="122">
        <v>6</v>
      </c>
      <c r="I66" s="113"/>
      <c r="J66" s="113"/>
      <c r="K66" s="113"/>
    </row>
    <row r="67" spans="1:11" ht="27.75" customHeight="1">
      <c r="A67" s="124">
        <v>1</v>
      </c>
      <c r="B67" s="759" t="s">
        <v>227</v>
      </c>
      <c r="C67" s="760"/>
      <c r="D67" s="761"/>
      <c r="E67" s="169"/>
      <c r="F67" s="169">
        <f>F69</f>
        <v>1284362</v>
      </c>
      <c r="G67" s="169">
        <f t="shared" ref="G67:H67" si="1">G69</f>
        <v>1418341</v>
      </c>
      <c r="H67" s="169">
        <f t="shared" si="1"/>
        <v>1443593</v>
      </c>
      <c r="I67" s="113"/>
      <c r="J67" s="113"/>
      <c r="K67" s="113"/>
    </row>
    <row r="68" spans="1:11">
      <c r="A68" s="124"/>
      <c r="B68" s="759" t="s">
        <v>29</v>
      </c>
      <c r="C68" s="760"/>
      <c r="D68" s="761"/>
      <c r="E68" s="169"/>
      <c r="F68" s="169"/>
      <c r="G68" s="169"/>
      <c r="H68" s="169"/>
      <c r="I68" s="113"/>
      <c r="J68" s="113"/>
      <c r="K68" s="113"/>
    </row>
    <row r="69" spans="1:11">
      <c r="A69" s="130"/>
      <c r="B69" s="759" t="s">
        <v>228</v>
      </c>
      <c r="C69" s="760"/>
      <c r="D69" s="761"/>
      <c r="E69" s="169">
        <f>I18+I19+I20+I28+I29+I30+I33+I34+I35+I38+I39+I40+I46+I48+I23+I24+I25</f>
        <v>5838011</v>
      </c>
      <c r="F69" s="169">
        <f>ROUND(E69*0.22,0)</f>
        <v>1284362</v>
      </c>
      <c r="G69" s="169">
        <f>ROUND(J49*0.22,0)+1</f>
        <v>1418341</v>
      </c>
      <c r="H69" s="169">
        <f>ROUND(K49*0.22,0)-1</f>
        <v>1443593</v>
      </c>
      <c r="I69" s="113"/>
      <c r="J69" s="113"/>
      <c r="K69" s="113"/>
    </row>
    <row r="70" spans="1:11">
      <c r="A70" s="124">
        <v>2</v>
      </c>
      <c r="B70" s="759" t="s">
        <v>229</v>
      </c>
      <c r="C70" s="760"/>
      <c r="D70" s="761"/>
      <c r="E70" s="169"/>
      <c r="F70" s="169">
        <f>F71+F72</f>
        <v>180978</v>
      </c>
      <c r="G70" s="169">
        <f t="shared" ref="G70:H70" si="2">G71+G72</f>
        <v>199857</v>
      </c>
      <c r="H70" s="169">
        <f t="shared" si="2"/>
        <v>203416</v>
      </c>
      <c r="I70" s="113"/>
      <c r="J70" s="113"/>
      <c r="K70" s="113"/>
    </row>
    <row r="71" spans="1:11">
      <c r="A71" s="124"/>
      <c r="B71" s="759" t="s">
        <v>230</v>
      </c>
      <c r="C71" s="760"/>
      <c r="D71" s="761"/>
      <c r="E71" s="169">
        <f>E69</f>
        <v>5838011</v>
      </c>
      <c r="F71" s="169">
        <f>ROUND(E71*0.029,0)</f>
        <v>169302</v>
      </c>
      <c r="G71" s="169">
        <f>ROUND(J49*0.029,0)</f>
        <v>186963</v>
      </c>
      <c r="H71" s="169">
        <f>ROUND(K49*0.029,0)</f>
        <v>190292</v>
      </c>
      <c r="I71" s="113"/>
      <c r="J71" s="113"/>
      <c r="K71" s="113"/>
    </row>
    <row r="72" spans="1:11">
      <c r="A72" s="124"/>
      <c r="B72" s="759" t="s">
        <v>231</v>
      </c>
      <c r="C72" s="760"/>
      <c r="D72" s="761"/>
      <c r="E72" s="169">
        <f>E71</f>
        <v>5838011</v>
      </c>
      <c r="F72" s="169">
        <f>ROUND(E72*0.002,0)</f>
        <v>11676</v>
      </c>
      <c r="G72" s="169">
        <f>ROUND(J49*0.002,0)</f>
        <v>12894</v>
      </c>
      <c r="H72" s="169">
        <f>ROUND(K49*0.002,0)</f>
        <v>13124</v>
      </c>
      <c r="I72" s="113"/>
      <c r="J72" s="113"/>
      <c r="K72" s="113"/>
    </row>
    <row r="73" spans="1:11">
      <c r="A73" s="124">
        <v>3</v>
      </c>
      <c r="B73" s="759" t="s">
        <v>232</v>
      </c>
      <c r="C73" s="760"/>
      <c r="D73" s="761"/>
      <c r="E73" s="169">
        <f>E72</f>
        <v>5838011</v>
      </c>
      <c r="F73" s="169">
        <f>ROUND(E73*0.051,0)</f>
        <v>297739</v>
      </c>
      <c r="G73" s="169">
        <f>ROUND(J49*0.051,0)-1</f>
        <v>328796</v>
      </c>
      <c r="H73" s="169">
        <f>ROUND(K49*0.051,0)+1</f>
        <v>334652</v>
      </c>
      <c r="I73" s="113"/>
      <c r="J73" s="113"/>
      <c r="K73" s="113"/>
    </row>
    <row r="74" spans="1:11">
      <c r="A74" s="166"/>
      <c r="B74" s="762" t="s">
        <v>216</v>
      </c>
      <c r="C74" s="762"/>
      <c r="D74" s="762"/>
      <c r="E74" s="170"/>
      <c r="F74" s="170">
        <f>F67+F70+F73</f>
        <v>1763079</v>
      </c>
      <c r="G74" s="170">
        <f t="shared" ref="G74:H74" si="3">G67+G70+G73</f>
        <v>1946994</v>
      </c>
      <c r="H74" s="170">
        <f t="shared" si="3"/>
        <v>1981661</v>
      </c>
    </row>
    <row r="75" spans="1:11">
      <c r="A75" s="18"/>
      <c r="B75" s="113"/>
      <c r="C75" s="113"/>
      <c r="D75" s="113"/>
      <c r="E75" s="113"/>
      <c r="F75" s="368"/>
      <c r="G75" s="368"/>
      <c r="H75" s="368"/>
    </row>
    <row r="76" spans="1:11">
      <c r="A76" s="67" t="s">
        <v>233</v>
      </c>
      <c r="B76" s="117"/>
      <c r="C76" s="117"/>
      <c r="D76" s="117"/>
      <c r="E76" s="117"/>
      <c r="F76" s="117"/>
      <c r="G76" s="117"/>
      <c r="H76" s="117"/>
    </row>
    <row r="77" spans="1:11">
      <c r="A77" s="18"/>
      <c r="B77" s="113"/>
      <c r="C77" s="113"/>
      <c r="D77" s="113"/>
      <c r="E77" s="113"/>
      <c r="F77" s="113"/>
      <c r="G77" s="113"/>
      <c r="H77" s="113"/>
    </row>
    <row r="78" spans="1:11" ht="48.75">
      <c r="A78" s="126" t="s">
        <v>218</v>
      </c>
      <c r="B78" s="733" t="s">
        <v>0</v>
      </c>
      <c r="C78" s="734"/>
      <c r="D78" s="120" t="s">
        <v>234</v>
      </c>
      <c r="E78" s="120" t="s">
        <v>235</v>
      </c>
      <c r="F78" s="120" t="s">
        <v>303</v>
      </c>
      <c r="G78" s="120" t="s">
        <v>304</v>
      </c>
      <c r="H78" s="120" t="s">
        <v>422</v>
      </c>
      <c r="I78" s="113"/>
      <c r="J78" s="113"/>
      <c r="K78" s="113"/>
    </row>
    <row r="79" spans="1:11">
      <c r="A79" s="122">
        <v>1</v>
      </c>
      <c r="B79" s="725">
        <v>2</v>
      </c>
      <c r="C79" s="726"/>
      <c r="D79" s="122">
        <v>3</v>
      </c>
      <c r="E79" s="122">
        <v>4</v>
      </c>
      <c r="F79" s="122">
        <v>5</v>
      </c>
      <c r="G79" s="122">
        <v>6</v>
      </c>
      <c r="H79" s="122">
        <v>7</v>
      </c>
      <c r="I79" s="113"/>
      <c r="J79" s="113"/>
      <c r="K79" s="113"/>
    </row>
    <row r="80" spans="1:11" hidden="1">
      <c r="A80" s="124">
        <v>1</v>
      </c>
      <c r="B80" s="725" t="s">
        <v>310</v>
      </c>
      <c r="C80" s="726"/>
      <c r="D80" s="125"/>
      <c r="E80" s="125"/>
      <c r="F80" s="169">
        <f>D80*E80</f>
        <v>0</v>
      </c>
      <c r="G80" s="169"/>
      <c r="H80" s="169"/>
      <c r="I80" s="113"/>
      <c r="J80" s="113"/>
      <c r="K80" s="113"/>
    </row>
    <row r="81" spans="1:11">
      <c r="A81" s="124">
        <v>1</v>
      </c>
      <c r="B81" s="725" t="s">
        <v>352</v>
      </c>
      <c r="C81" s="726"/>
      <c r="D81" s="343">
        <f>F81/E81</f>
        <v>3253.875</v>
      </c>
      <c r="E81" s="125">
        <v>8</v>
      </c>
      <c r="F81" s="169">
        <v>26031</v>
      </c>
      <c r="G81" s="169"/>
      <c r="H81" s="169"/>
      <c r="I81" s="113"/>
      <c r="J81" s="113"/>
      <c r="K81" s="113"/>
    </row>
    <row r="82" spans="1:11" hidden="1">
      <c r="A82" s="124"/>
      <c r="B82" s="725"/>
      <c r="C82" s="726"/>
      <c r="D82" s="125"/>
      <c r="E82" s="125"/>
      <c r="F82" s="169">
        <f t="shared" ref="F82:F85" si="4">D82*E82</f>
        <v>0</v>
      </c>
      <c r="G82" s="169"/>
      <c r="H82" s="169"/>
      <c r="I82" s="113"/>
      <c r="J82" s="113"/>
      <c r="K82" s="113"/>
    </row>
    <row r="83" spans="1:11" hidden="1">
      <c r="A83" s="124"/>
      <c r="B83" s="725"/>
      <c r="C83" s="726"/>
      <c r="D83" s="125"/>
      <c r="E83" s="125"/>
      <c r="F83" s="169">
        <f t="shared" si="4"/>
        <v>0</v>
      </c>
      <c r="G83" s="169"/>
      <c r="H83" s="169"/>
      <c r="I83" s="113"/>
      <c r="J83" s="113"/>
      <c r="K83" s="113"/>
    </row>
    <row r="84" spans="1:11" hidden="1">
      <c r="A84" s="124"/>
      <c r="B84" s="725"/>
      <c r="C84" s="726"/>
      <c r="D84" s="125"/>
      <c r="E84" s="125"/>
      <c r="F84" s="169">
        <f t="shared" si="4"/>
        <v>0</v>
      </c>
      <c r="G84" s="169"/>
      <c r="H84" s="169"/>
      <c r="I84" s="113"/>
      <c r="J84" s="113"/>
      <c r="K84" s="113"/>
    </row>
    <row r="85" spans="1:11" hidden="1">
      <c r="A85" s="124"/>
      <c r="B85" s="725"/>
      <c r="C85" s="726"/>
      <c r="D85" s="125"/>
      <c r="E85" s="125"/>
      <c r="F85" s="169">
        <f t="shared" si="4"/>
        <v>0</v>
      </c>
      <c r="G85" s="169"/>
      <c r="H85" s="169"/>
      <c r="I85" s="113"/>
      <c r="J85" s="113"/>
      <c r="K85" s="113"/>
    </row>
    <row r="86" spans="1:11">
      <c r="A86" s="166"/>
      <c r="B86" s="727" t="s">
        <v>216</v>
      </c>
      <c r="C86" s="728"/>
      <c r="D86" s="167"/>
      <c r="E86" s="167"/>
      <c r="F86" s="170">
        <f>SUM(F80:F85)</f>
        <v>26031</v>
      </c>
      <c r="G86" s="170">
        <f t="shared" ref="G86:H86" si="5">SUM(G80:G85)</f>
        <v>0</v>
      </c>
      <c r="H86" s="170">
        <f t="shared" si="5"/>
        <v>0</v>
      </c>
      <c r="I86" s="171"/>
      <c r="J86" s="171"/>
      <c r="K86" s="171"/>
    </row>
    <row r="87" spans="1:11" hidden="1">
      <c r="A87" s="18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hidden="1">
      <c r="A88" s="67" t="s">
        <v>236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</row>
    <row r="89" spans="1:11" hidden="1">
      <c r="A89" s="18"/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spans="1:11" ht="72.75" hidden="1">
      <c r="A90" s="126" t="s">
        <v>218</v>
      </c>
      <c r="B90" s="733" t="s">
        <v>237</v>
      </c>
      <c r="C90" s="734"/>
      <c r="D90" s="120" t="s">
        <v>238</v>
      </c>
      <c r="E90" s="120" t="s">
        <v>239</v>
      </c>
      <c r="F90" s="120" t="s">
        <v>485</v>
      </c>
      <c r="G90" s="120" t="s">
        <v>486</v>
      </c>
      <c r="H90" s="120" t="s">
        <v>487</v>
      </c>
      <c r="I90" s="113"/>
      <c r="J90" s="113"/>
      <c r="K90" s="113"/>
    </row>
    <row r="91" spans="1:11" hidden="1">
      <c r="A91" s="122">
        <v>1</v>
      </c>
      <c r="B91" s="725">
        <v>2</v>
      </c>
      <c r="C91" s="726"/>
      <c r="D91" s="122">
        <v>3</v>
      </c>
      <c r="E91" s="122">
        <v>4</v>
      </c>
      <c r="F91" s="122">
        <v>5</v>
      </c>
      <c r="G91" s="122">
        <v>6</v>
      </c>
      <c r="H91" s="122">
        <v>7</v>
      </c>
      <c r="I91" s="113"/>
      <c r="J91" s="113"/>
      <c r="K91" s="113"/>
    </row>
    <row r="92" spans="1:11" hidden="1">
      <c r="A92" s="124">
        <v>1</v>
      </c>
      <c r="B92" s="756"/>
      <c r="C92" s="757"/>
      <c r="D92" s="125"/>
      <c r="E92" s="174"/>
      <c r="F92" s="169"/>
      <c r="G92" s="169"/>
      <c r="H92" s="169"/>
      <c r="I92" s="113"/>
      <c r="J92" s="113"/>
      <c r="K92" s="113"/>
    </row>
    <row r="93" spans="1:11" hidden="1">
      <c r="A93" s="124">
        <v>2</v>
      </c>
      <c r="B93" s="756" t="s">
        <v>312</v>
      </c>
      <c r="C93" s="757"/>
      <c r="D93" s="125"/>
      <c r="E93" s="174"/>
      <c r="F93" s="169">
        <f>ROUND(D93*E93,0)</f>
        <v>0</v>
      </c>
      <c r="G93" s="169">
        <f>F93</f>
        <v>0</v>
      </c>
      <c r="H93" s="169">
        <f>G93</f>
        <v>0</v>
      </c>
      <c r="I93" s="113"/>
      <c r="J93" s="113"/>
      <c r="K93" s="113"/>
    </row>
    <row r="94" spans="1:11" hidden="1">
      <c r="A94" s="124"/>
      <c r="B94" s="725"/>
      <c r="C94" s="726"/>
      <c r="D94" s="125"/>
      <c r="E94" s="125"/>
      <c r="F94" s="169"/>
      <c r="G94" s="169"/>
      <c r="H94" s="169"/>
      <c r="I94" s="113"/>
      <c r="J94" s="113"/>
      <c r="K94" s="113"/>
    </row>
    <row r="95" spans="1:11" hidden="1">
      <c r="A95" s="124"/>
      <c r="B95" s="725"/>
      <c r="C95" s="726"/>
      <c r="D95" s="125"/>
      <c r="E95" s="125"/>
      <c r="F95" s="169"/>
      <c r="G95" s="169"/>
      <c r="H95" s="169"/>
      <c r="I95" s="113"/>
      <c r="J95" s="113"/>
      <c r="K95" s="113"/>
    </row>
    <row r="96" spans="1:11" hidden="1">
      <c r="A96" s="124"/>
      <c r="B96" s="725"/>
      <c r="C96" s="726"/>
      <c r="D96" s="125"/>
      <c r="E96" s="125"/>
      <c r="F96" s="169"/>
      <c r="G96" s="169"/>
      <c r="H96" s="169"/>
      <c r="I96" s="113"/>
      <c r="J96" s="113"/>
      <c r="K96" s="113"/>
    </row>
    <row r="97" spans="1:11" hidden="1">
      <c r="A97" s="124"/>
      <c r="B97" s="725"/>
      <c r="C97" s="726"/>
      <c r="D97" s="125"/>
      <c r="E97" s="125"/>
      <c r="F97" s="169"/>
      <c r="G97" s="169"/>
      <c r="H97" s="169"/>
      <c r="I97" s="113"/>
      <c r="J97" s="113"/>
      <c r="K97" s="113"/>
    </row>
    <row r="98" spans="1:11" hidden="1">
      <c r="A98" s="166"/>
      <c r="B98" s="727" t="s">
        <v>216</v>
      </c>
      <c r="C98" s="728"/>
      <c r="D98" s="167"/>
      <c r="E98" s="167"/>
      <c r="F98" s="170">
        <f>SUM(F92:F97)</f>
        <v>0</v>
      </c>
      <c r="G98" s="170">
        <f t="shared" ref="G98:H98" si="6">SUM(G92:G97)</f>
        <v>0</v>
      </c>
      <c r="H98" s="170">
        <f t="shared" si="6"/>
        <v>0</v>
      </c>
      <c r="I98" s="171"/>
      <c r="J98" s="171"/>
      <c r="K98" s="171"/>
    </row>
    <row r="99" spans="1:11" hidden="1">
      <c r="A99" s="18"/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1:11" hidden="1">
      <c r="A100" s="758" t="s">
        <v>240</v>
      </c>
      <c r="B100" s="758"/>
      <c r="C100" s="758"/>
      <c r="D100" s="758"/>
      <c r="E100" s="758"/>
      <c r="F100" s="758"/>
      <c r="G100" s="758"/>
      <c r="H100" s="758"/>
      <c r="I100" s="113"/>
      <c r="J100" s="113"/>
      <c r="K100" s="113"/>
    </row>
    <row r="101" spans="1:11" hidden="1">
      <c r="A101" s="18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1:11" ht="48.75" hidden="1">
      <c r="A102" s="126" t="s">
        <v>218</v>
      </c>
      <c r="B102" s="733" t="s">
        <v>0</v>
      </c>
      <c r="C102" s="734"/>
      <c r="D102" s="120" t="s">
        <v>241</v>
      </c>
      <c r="E102" s="120" t="s">
        <v>235</v>
      </c>
      <c r="F102" s="120" t="s">
        <v>242</v>
      </c>
      <c r="G102" s="120" t="s">
        <v>242</v>
      </c>
      <c r="H102" s="120" t="s">
        <v>242</v>
      </c>
      <c r="I102" s="113"/>
      <c r="J102" s="113"/>
      <c r="K102" s="113"/>
    </row>
    <row r="103" spans="1:11" hidden="1">
      <c r="A103" s="122">
        <v>1</v>
      </c>
      <c r="B103" s="725">
        <v>2</v>
      </c>
      <c r="C103" s="726"/>
      <c r="D103" s="122">
        <v>3</v>
      </c>
      <c r="E103" s="122">
        <v>4</v>
      </c>
      <c r="F103" s="122">
        <v>5</v>
      </c>
      <c r="G103" s="122">
        <v>6</v>
      </c>
      <c r="H103" s="122">
        <v>7</v>
      </c>
      <c r="I103" s="113"/>
      <c r="J103" s="113"/>
      <c r="K103" s="113"/>
    </row>
    <row r="104" spans="1:11" hidden="1">
      <c r="A104" s="124"/>
      <c r="B104" s="725"/>
      <c r="C104" s="726"/>
      <c r="D104" s="125"/>
      <c r="E104" s="125"/>
      <c r="F104" s="125"/>
      <c r="G104" s="125"/>
      <c r="H104" s="125"/>
      <c r="I104" s="113"/>
      <c r="J104" s="113"/>
      <c r="K104" s="113"/>
    </row>
    <row r="105" spans="1:11" hidden="1">
      <c r="A105" s="124"/>
      <c r="B105" s="725"/>
      <c r="C105" s="726"/>
      <c r="D105" s="125"/>
      <c r="E105" s="125"/>
      <c r="F105" s="125"/>
      <c r="G105" s="125"/>
      <c r="H105" s="125"/>
      <c r="I105" s="113"/>
      <c r="J105" s="113"/>
      <c r="K105" s="113"/>
    </row>
    <row r="106" spans="1:11" hidden="1">
      <c r="A106" s="124"/>
      <c r="B106" s="725"/>
      <c r="C106" s="726"/>
      <c r="D106" s="125"/>
      <c r="E106" s="125"/>
      <c r="F106" s="125"/>
      <c r="G106" s="125"/>
      <c r="H106" s="125"/>
      <c r="I106" s="113"/>
      <c r="J106" s="113"/>
      <c r="K106" s="113"/>
    </row>
    <row r="107" spans="1:11" hidden="1">
      <c r="A107" s="124"/>
      <c r="B107" s="725"/>
      <c r="C107" s="726"/>
      <c r="D107" s="125"/>
      <c r="E107" s="125"/>
      <c r="F107" s="125"/>
      <c r="G107" s="125"/>
      <c r="H107" s="125"/>
      <c r="I107" s="113"/>
      <c r="J107" s="113"/>
      <c r="K107" s="113"/>
    </row>
    <row r="108" spans="1:11" hidden="1">
      <c r="A108" s="124"/>
      <c r="B108" s="725"/>
      <c r="C108" s="726"/>
      <c r="D108" s="125"/>
      <c r="E108" s="125"/>
      <c r="F108" s="125"/>
      <c r="G108" s="125"/>
      <c r="H108" s="125"/>
      <c r="I108" s="113"/>
      <c r="J108" s="113"/>
      <c r="K108" s="113"/>
    </row>
    <row r="109" spans="1:11" hidden="1">
      <c r="A109" s="124"/>
      <c r="B109" s="725"/>
      <c r="C109" s="726"/>
      <c r="D109" s="125"/>
      <c r="E109" s="125"/>
      <c r="F109" s="125"/>
      <c r="G109" s="125"/>
      <c r="H109" s="125"/>
      <c r="I109" s="113"/>
      <c r="J109" s="113"/>
      <c r="K109" s="113"/>
    </row>
    <row r="110" spans="1:11" hidden="1">
      <c r="A110" s="124"/>
      <c r="B110" s="725" t="s">
        <v>216</v>
      </c>
      <c r="C110" s="726"/>
      <c r="D110" s="125"/>
      <c r="E110" s="125"/>
      <c r="F110" s="125"/>
      <c r="G110" s="125"/>
      <c r="H110" s="125"/>
      <c r="I110" s="113"/>
      <c r="J110" s="113"/>
      <c r="K110" s="113"/>
    </row>
    <row r="111" spans="1:11" hidden="1">
      <c r="A111" s="18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1:11">
      <c r="A112" s="67" t="s">
        <v>243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1:11">
      <c r="A113" s="67" t="s">
        <v>244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>
      <c r="A114" s="18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1:11" ht="36.75">
      <c r="A115" s="126" t="s">
        <v>218</v>
      </c>
      <c r="B115" s="733" t="s">
        <v>313</v>
      </c>
      <c r="C115" s="734"/>
      <c r="D115" s="120" t="s">
        <v>245</v>
      </c>
      <c r="E115" s="120" t="s">
        <v>246</v>
      </c>
      <c r="F115" s="120" t="s">
        <v>247</v>
      </c>
      <c r="G115" s="120" t="s">
        <v>303</v>
      </c>
      <c r="H115" s="120" t="s">
        <v>304</v>
      </c>
      <c r="I115" s="120" t="s">
        <v>422</v>
      </c>
      <c r="J115" s="113"/>
      <c r="K115" s="113"/>
    </row>
    <row r="116" spans="1:11">
      <c r="A116" s="122">
        <v>1</v>
      </c>
      <c r="B116" s="725">
        <v>2</v>
      </c>
      <c r="C116" s="726"/>
      <c r="D116" s="122">
        <v>3</v>
      </c>
      <c r="E116" s="122">
        <v>4</v>
      </c>
      <c r="F116" s="122">
        <v>5</v>
      </c>
      <c r="G116" s="122">
        <v>6</v>
      </c>
      <c r="H116" s="122">
        <v>7</v>
      </c>
      <c r="I116" s="122">
        <v>8</v>
      </c>
      <c r="J116" s="113"/>
      <c r="K116" s="113"/>
    </row>
    <row r="117" spans="1:11" hidden="1">
      <c r="A117" s="124"/>
      <c r="B117" s="756"/>
      <c r="C117" s="757"/>
      <c r="D117" s="125"/>
      <c r="E117" s="125"/>
      <c r="F117" s="125"/>
      <c r="G117" s="169"/>
      <c r="H117" s="169"/>
      <c r="I117" s="169"/>
      <c r="J117" s="113"/>
      <c r="K117" s="113"/>
    </row>
    <row r="118" spans="1:11">
      <c r="A118" s="124"/>
      <c r="B118" s="319" t="s">
        <v>316</v>
      </c>
      <c r="C118" s="320"/>
      <c r="D118" s="125">
        <v>1</v>
      </c>
      <c r="E118" s="125">
        <v>10</v>
      </c>
      <c r="F118" s="125">
        <v>6000</v>
      </c>
      <c r="G118" s="169">
        <f>D118*E118*F118</f>
        <v>60000</v>
      </c>
      <c r="H118" s="169">
        <f>G118</f>
        <v>60000</v>
      </c>
      <c r="I118" s="169">
        <f t="shared" ref="I118" si="7">H118</f>
        <v>60000</v>
      </c>
      <c r="J118" s="113"/>
      <c r="K118" s="113"/>
    </row>
    <row r="119" spans="1:11" hidden="1">
      <c r="A119" s="124"/>
      <c r="B119" s="725"/>
      <c r="C119" s="726"/>
      <c r="D119" s="125"/>
      <c r="E119" s="125"/>
      <c r="F119" s="125"/>
      <c r="G119" s="169"/>
      <c r="H119" s="169"/>
      <c r="I119" s="169"/>
      <c r="J119" s="113"/>
      <c r="K119" s="113"/>
    </row>
    <row r="120" spans="1:11" hidden="1">
      <c r="A120" s="124"/>
      <c r="B120" s="725"/>
      <c r="C120" s="726"/>
      <c r="D120" s="125"/>
      <c r="E120" s="125"/>
      <c r="F120" s="125"/>
      <c r="G120" s="169"/>
      <c r="H120" s="169"/>
      <c r="I120" s="169"/>
      <c r="J120" s="113"/>
      <c r="K120" s="113"/>
    </row>
    <row r="121" spans="1:11">
      <c r="A121" s="166"/>
      <c r="B121" s="727" t="s">
        <v>216</v>
      </c>
      <c r="C121" s="728"/>
      <c r="D121" s="167"/>
      <c r="E121" s="167"/>
      <c r="F121" s="167"/>
      <c r="G121" s="170">
        <f>ROUND(SUM(G117:G120),0)</f>
        <v>60000</v>
      </c>
      <c r="H121" s="170">
        <f t="shared" ref="H121:I121" si="8">ROUND(SUM(H117:H120),0)</f>
        <v>60000</v>
      </c>
      <c r="I121" s="170">
        <f t="shared" si="8"/>
        <v>60000</v>
      </c>
      <c r="J121" s="171"/>
      <c r="K121" s="171"/>
    </row>
    <row r="122" spans="1:11">
      <c r="A122" s="18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1:11" hidden="1">
      <c r="A123" s="67" t="s">
        <v>248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1:11" hidden="1">
      <c r="A124" s="18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1:11" ht="48.75" hidden="1">
      <c r="A125" s="126" t="s">
        <v>218</v>
      </c>
      <c r="B125" s="733" t="s">
        <v>237</v>
      </c>
      <c r="C125" s="734"/>
      <c r="D125" s="120" t="s">
        <v>249</v>
      </c>
      <c r="E125" s="120" t="s">
        <v>250</v>
      </c>
      <c r="F125" s="120" t="s">
        <v>484</v>
      </c>
      <c r="G125" s="120" t="s">
        <v>303</v>
      </c>
      <c r="H125" s="120" t="s">
        <v>304</v>
      </c>
      <c r="I125" s="113"/>
      <c r="J125" s="113"/>
      <c r="K125" s="113"/>
    </row>
    <row r="126" spans="1:11" hidden="1">
      <c r="A126" s="122">
        <v>1</v>
      </c>
      <c r="B126" s="725">
        <v>2</v>
      </c>
      <c r="C126" s="726"/>
      <c r="D126" s="122">
        <v>3</v>
      </c>
      <c r="E126" s="122">
        <v>4</v>
      </c>
      <c r="F126" s="122">
        <v>5</v>
      </c>
      <c r="G126" s="122">
        <v>6</v>
      </c>
      <c r="H126" s="122">
        <v>7</v>
      </c>
      <c r="I126" s="113"/>
      <c r="J126" s="113"/>
      <c r="K126" s="113"/>
    </row>
    <row r="127" spans="1:11" hidden="1">
      <c r="A127" s="124">
        <v>1</v>
      </c>
      <c r="B127" s="725"/>
      <c r="C127" s="726"/>
      <c r="D127" s="125"/>
      <c r="E127" s="125"/>
      <c r="F127" s="125">
        <f>D127*E127</f>
        <v>0</v>
      </c>
      <c r="G127" s="125"/>
      <c r="H127" s="125"/>
      <c r="I127" s="113"/>
      <c r="J127" s="113"/>
      <c r="K127" s="113"/>
    </row>
    <row r="128" spans="1:11" hidden="1">
      <c r="A128" s="124"/>
      <c r="B128" s="725"/>
      <c r="C128" s="726"/>
      <c r="D128" s="125"/>
      <c r="E128" s="125"/>
      <c r="F128" s="125">
        <f t="shared" ref="F128:F132" si="9">D128*E128</f>
        <v>0</v>
      </c>
      <c r="G128" s="125"/>
      <c r="H128" s="125"/>
      <c r="I128" s="113"/>
      <c r="J128" s="113"/>
      <c r="K128" s="113"/>
    </row>
    <row r="129" spans="1:11" hidden="1">
      <c r="A129" s="124"/>
      <c r="B129" s="725"/>
      <c r="C129" s="726"/>
      <c r="D129" s="125"/>
      <c r="E129" s="125"/>
      <c r="F129" s="125">
        <f t="shared" si="9"/>
        <v>0</v>
      </c>
      <c r="G129" s="125"/>
      <c r="H129" s="125"/>
      <c r="I129" s="113"/>
      <c r="J129" s="113"/>
      <c r="K129" s="113"/>
    </row>
    <row r="130" spans="1:11" hidden="1">
      <c r="A130" s="124"/>
      <c r="B130" s="725"/>
      <c r="C130" s="726"/>
      <c r="D130" s="125"/>
      <c r="E130" s="125"/>
      <c r="F130" s="125">
        <f t="shared" si="9"/>
        <v>0</v>
      </c>
      <c r="G130" s="125"/>
      <c r="H130" s="125"/>
      <c r="I130" s="113"/>
      <c r="J130" s="113"/>
      <c r="K130" s="113"/>
    </row>
    <row r="131" spans="1:11" hidden="1">
      <c r="A131" s="124"/>
      <c r="B131" s="725"/>
      <c r="C131" s="726"/>
      <c r="D131" s="125"/>
      <c r="E131" s="125"/>
      <c r="F131" s="125">
        <f t="shared" si="9"/>
        <v>0</v>
      </c>
      <c r="G131" s="125"/>
      <c r="H131" s="125"/>
      <c r="I131" s="113"/>
      <c r="J131" s="113"/>
      <c r="K131" s="113"/>
    </row>
    <row r="132" spans="1:11" hidden="1">
      <c r="A132" s="124"/>
      <c r="B132" s="725"/>
      <c r="C132" s="726"/>
      <c r="D132" s="125"/>
      <c r="E132" s="125"/>
      <c r="F132" s="125">
        <f t="shared" si="9"/>
        <v>0</v>
      </c>
      <c r="G132" s="125"/>
      <c r="H132" s="125"/>
      <c r="I132" s="113"/>
      <c r="J132" s="113"/>
      <c r="K132" s="113"/>
    </row>
    <row r="133" spans="1:11" hidden="1">
      <c r="A133" s="166"/>
      <c r="B133" s="727" t="s">
        <v>216</v>
      </c>
      <c r="C133" s="728"/>
      <c r="D133" s="167"/>
      <c r="E133" s="167"/>
      <c r="F133" s="167">
        <f>SUM(F127:F132)</f>
        <v>0</v>
      </c>
      <c r="G133" s="167">
        <f t="shared" ref="G133:H133" si="10">SUM(G127:G132)</f>
        <v>0</v>
      </c>
      <c r="H133" s="167">
        <f t="shared" si="10"/>
        <v>0</v>
      </c>
      <c r="I133" s="171"/>
      <c r="J133" s="171"/>
      <c r="K133" s="171"/>
    </row>
    <row r="134" spans="1:11" hidden="1">
      <c r="A134" s="18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1:11" hidden="1">
      <c r="A135" s="67" t="s">
        <v>251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1" hidden="1">
      <c r="A136" s="18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1:11" ht="48.75" hidden="1">
      <c r="A137" s="126" t="s">
        <v>218</v>
      </c>
      <c r="B137" s="733" t="s">
        <v>0</v>
      </c>
      <c r="C137" s="734"/>
      <c r="D137" s="120" t="s">
        <v>252</v>
      </c>
      <c r="E137" s="120" t="s">
        <v>253</v>
      </c>
      <c r="F137" s="120" t="s">
        <v>254</v>
      </c>
      <c r="G137" s="120" t="s">
        <v>484</v>
      </c>
      <c r="H137" s="120" t="s">
        <v>303</v>
      </c>
      <c r="I137" s="120" t="s">
        <v>304</v>
      </c>
      <c r="J137" s="113"/>
      <c r="K137" s="113"/>
    </row>
    <row r="138" spans="1:11" hidden="1">
      <c r="A138" s="122">
        <v>1</v>
      </c>
      <c r="B138" s="725">
        <v>2</v>
      </c>
      <c r="C138" s="726"/>
      <c r="D138" s="122">
        <v>3</v>
      </c>
      <c r="E138" s="122">
        <v>4</v>
      </c>
      <c r="F138" s="122">
        <v>5</v>
      </c>
      <c r="G138" s="122">
        <v>6</v>
      </c>
      <c r="H138" s="122">
        <v>7</v>
      </c>
      <c r="I138" s="122">
        <v>8</v>
      </c>
      <c r="J138" s="113"/>
      <c r="K138" s="113"/>
    </row>
    <row r="139" spans="1:11" hidden="1">
      <c r="A139" s="124"/>
      <c r="B139" s="750"/>
      <c r="C139" s="751"/>
      <c r="D139" s="125"/>
      <c r="E139" s="125"/>
      <c r="F139" s="125"/>
      <c r="G139" s="343"/>
      <c r="H139" s="343"/>
      <c r="I139" s="343"/>
      <c r="J139" s="113"/>
      <c r="K139" s="113"/>
    </row>
    <row r="140" spans="1:11" hidden="1">
      <c r="A140" s="124"/>
      <c r="B140" s="748"/>
      <c r="C140" s="749"/>
      <c r="D140" s="125"/>
      <c r="E140" s="125"/>
      <c r="F140" s="125"/>
      <c r="G140" s="343"/>
      <c r="H140" s="343"/>
      <c r="I140" s="343"/>
      <c r="J140" s="113"/>
      <c r="K140" s="113"/>
    </row>
    <row r="141" spans="1:11" hidden="1">
      <c r="A141" s="124"/>
      <c r="B141" s="750"/>
      <c r="C141" s="751"/>
      <c r="D141" s="125"/>
      <c r="E141" s="346"/>
      <c r="F141" s="125"/>
      <c r="G141" s="343"/>
      <c r="H141" s="343"/>
      <c r="I141" s="343"/>
      <c r="J141" s="113"/>
      <c r="K141" s="113"/>
    </row>
    <row r="142" spans="1:11" hidden="1">
      <c r="A142" s="124"/>
      <c r="B142" s="748"/>
      <c r="C142" s="772"/>
      <c r="D142" s="773"/>
      <c r="E142" s="773"/>
      <c r="F142" s="774"/>
      <c r="G142" s="343"/>
      <c r="H142" s="343"/>
      <c r="I142" s="343"/>
      <c r="J142" s="113"/>
      <c r="K142" s="113"/>
    </row>
    <row r="143" spans="1:11" hidden="1">
      <c r="A143" s="124"/>
      <c r="B143" s="750"/>
      <c r="C143" s="751"/>
      <c r="D143" s="125"/>
      <c r="E143" s="125"/>
      <c r="F143" s="125"/>
      <c r="G143" s="343"/>
      <c r="H143" s="343"/>
      <c r="I143" s="343"/>
      <c r="J143" s="113"/>
      <c r="K143" s="113"/>
    </row>
    <row r="144" spans="1:11" hidden="1">
      <c r="A144" s="124"/>
      <c r="B144" s="363"/>
      <c r="C144" s="364"/>
      <c r="D144" s="125"/>
      <c r="E144" s="125"/>
      <c r="F144" s="125"/>
      <c r="G144" s="343"/>
      <c r="H144" s="343"/>
      <c r="I144" s="343"/>
      <c r="J144" s="113"/>
      <c r="K144" s="113"/>
    </row>
    <row r="145" spans="1:11" hidden="1">
      <c r="A145" s="124"/>
      <c r="B145" s="775"/>
      <c r="C145" s="751"/>
      <c r="D145" s="125"/>
      <c r="E145" s="125"/>
      <c r="F145" s="125"/>
      <c r="G145" s="343"/>
      <c r="H145" s="343"/>
      <c r="I145" s="343"/>
      <c r="J145" s="113"/>
      <c r="K145" s="113"/>
    </row>
    <row r="146" spans="1:11" hidden="1">
      <c r="A146" s="124"/>
      <c r="B146" s="365"/>
      <c r="C146" s="366"/>
      <c r="D146" s="125"/>
      <c r="E146" s="125"/>
      <c r="F146" s="125"/>
      <c r="G146" s="343"/>
      <c r="H146" s="343"/>
      <c r="I146" s="343"/>
      <c r="J146" s="113"/>
      <c r="K146" s="113"/>
    </row>
    <row r="147" spans="1:11" hidden="1">
      <c r="A147" s="166"/>
      <c r="B147" s="727" t="s">
        <v>216</v>
      </c>
      <c r="C147" s="728"/>
      <c r="D147" s="167"/>
      <c r="E147" s="167"/>
      <c r="F147" s="167"/>
      <c r="G147" s="367">
        <f>SUM(G139:G146)</f>
        <v>0</v>
      </c>
      <c r="H147" s="367">
        <f>SUM(H139:H146)</f>
        <v>0</v>
      </c>
      <c r="I147" s="367">
        <f>SUM(I139:I146)</f>
        <v>0</v>
      </c>
      <c r="J147" s="171"/>
      <c r="K147" s="171"/>
    </row>
    <row r="148" spans="1:11" hidden="1">
      <c r="A148" s="18"/>
      <c r="B148" s="113"/>
      <c r="C148" s="113"/>
      <c r="D148" s="113"/>
      <c r="E148" s="113"/>
      <c r="F148" s="113"/>
      <c r="G148" s="368"/>
      <c r="H148" s="368"/>
      <c r="I148" s="368"/>
      <c r="J148" s="113"/>
      <c r="K148" s="113"/>
    </row>
    <row r="149" spans="1:11" hidden="1">
      <c r="A149" s="67" t="s">
        <v>255</v>
      </c>
      <c r="B149" s="117"/>
      <c r="C149" s="117"/>
      <c r="D149" s="117"/>
      <c r="E149" s="117"/>
      <c r="F149" s="117"/>
      <c r="G149" s="362"/>
      <c r="H149" s="362"/>
      <c r="I149" s="362"/>
      <c r="J149" s="117"/>
      <c r="K149" s="117"/>
    </row>
    <row r="150" spans="1:11" hidden="1">
      <c r="A150" s="18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1:11" ht="48.75" hidden="1">
      <c r="A151" s="126" t="s">
        <v>218</v>
      </c>
      <c r="B151" s="733" t="s">
        <v>0</v>
      </c>
      <c r="C151" s="734"/>
      <c r="D151" s="120" t="s">
        <v>256</v>
      </c>
      <c r="E151" s="120" t="s">
        <v>257</v>
      </c>
      <c r="F151" s="120" t="s">
        <v>258</v>
      </c>
      <c r="G151" s="120" t="s">
        <v>258</v>
      </c>
      <c r="H151" s="120" t="s">
        <v>258</v>
      </c>
      <c r="I151" s="113"/>
      <c r="J151" s="113"/>
      <c r="K151" s="113"/>
    </row>
    <row r="152" spans="1:11" hidden="1">
      <c r="A152" s="122">
        <v>1</v>
      </c>
      <c r="B152" s="725">
        <v>2</v>
      </c>
      <c r="C152" s="726"/>
      <c r="D152" s="122">
        <v>3</v>
      </c>
      <c r="E152" s="122">
        <v>4</v>
      </c>
      <c r="F152" s="122">
        <v>5</v>
      </c>
      <c r="G152" s="122">
        <v>6</v>
      </c>
      <c r="H152" s="122">
        <v>7</v>
      </c>
      <c r="I152" s="113"/>
      <c r="J152" s="113"/>
      <c r="K152" s="113"/>
    </row>
    <row r="153" spans="1:11" hidden="1">
      <c r="A153" s="124"/>
      <c r="B153" s="725"/>
      <c r="C153" s="726"/>
      <c r="D153" s="125"/>
      <c r="E153" s="125"/>
      <c r="F153" s="125"/>
      <c r="G153" s="125"/>
      <c r="H153" s="125"/>
      <c r="I153" s="113"/>
      <c r="J153" s="113"/>
      <c r="K153" s="113"/>
    </row>
    <row r="154" spans="1:11" hidden="1">
      <c r="A154" s="124"/>
      <c r="B154" s="725"/>
      <c r="C154" s="726"/>
      <c r="D154" s="125"/>
      <c r="E154" s="125"/>
      <c r="F154" s="125"/>
      <c r="G154" s="125"/>
      <c r="H154" s="125"/>
      <c r="I154" s="113"/>
      <c r="J154" s="113"/>
      <c r="K154" s="113"/>
    </row>
    <row r="155" spans="1:11" hidden="1">
      <c r="A155" s="124"/>
      <c r="B155" s="725"/>
      <c r="C155" s="726"/>
      <c r="D155" s="125"/>
      <c r="E155" s="125"/>
      <c r="F155" s="125"/>
      <c r="G155" s="125"/>
      <c r="H155" s="125"/>
      <c r="I155" s="113"/>
      <c r="J155" s="113"/>
      <c r="K155" s="113"/>
    </row>
    <row r="156" spans="1:11" hidden="1">
      <c r="A156" s="124"/>
      <c r="B156" s="725"/>
      <c r="C156" s="726"/>
      <c r="D156" s="125"/>
      <c r="E156" s="125"/>
      <c r="F156" s="125"/>
      <c r="G156" s="125"/>
      <c r="H156" s="125"/>
      <c r="I156" s="113"/>
      <c r="J156" s="113"/>
      <c r="K156" s="113"/>
    </row>
    <row r="157" spans="1:11" hidden="1">
      <c r="A157" s="124"/>
      <c r="B157" s="725"/>
      <c r="C157" s="726"/>
      <c r="D157" s="125"/>
      <c r="E157" s="125"/>
      <c r="F157" s="125"/>
      <c r="G157" s="125"/>
      <c r="H157" s="125"/>
      <c r="I157" s="113"/>
      <c r="J157" s="113"/>
      <c r="K157" s="113"/>
    </row>
    <row r="158" spans="1:11" hidden="1">
      <c r="A158" s="124"/>
      <c r="B158" s="725"/>
      <c r="C158" s="726"/>
      <c r="D158" s="125"/>
      <c r="E158" s="125"/>
      <c r="F158" s="125"/>
      <c r="G158" s="125"/>
      <c r="H158" s="125"/>
      <c r="I158" s="113"/>
      <c r="J158" s="113"/>
      <c r="K158" s="113"/>
    </row>
    <row r="159" spans="1:11" hidden="1">
      <c r="A159" s="166"/>
      <c r="B159" s="727" t="s">
        <v>216</v>
      </c>
      <c r="C159" s="728"/>
      <c r="D159" s="167"/>
      <c r="E159" s="167"/>
      <c r="F159" s="167">
        <f>SUM(F153:F158)</f>
        <v>0</v>
      </c>
      <c r="G159" s="167">
        <f t="shared" ref="G159:H159" si="11">SUM(G153:G158)</f>
        <v>0</v>
      </c>
      <c r="H159" s="167">
        <f t="shared" si="11"/>
        <v>0</v>
      </c>
      <c r="I159" s="171"/>
      <c r="J159" s="171"/>
      <c r="K159" s="171"/>
    </row>
    <row r="160" spans="1:11" hidden="1">
      <c r="A160" s="18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hidden="1">
      <c r="A161" s="67" t="s">
        <v>259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1:11" hidden="1">
      <c r="A162" s="18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1:11" ht="36.75" hidden="1">
      <c r="A163" s="126" t="s">
        <v>218</v>
      </c>
      <c r="B163" s="733" t="s">
        <v>0</v>
      </c>
      <c r="C163" s="734"/>
      <c r="D163" s="120" t="s">
        <v>260</v>
      </c>
      <c r="E163" s="120" t="s">
        <v>261</v>
      </c>
      <c r="F163" s="120" t="s">
        <v>484</v>
      </c>
      <c r="G163" s="120" t="s">
        <v>303</v>
      </c>
      <c r="H163" s="120" t="s">
        <v>304</v>
      </c>
      <c r="I163" s="113"/>
      <c r="J163" s="113"/>
      <c r="K163" s="113"/>
    </row>
    <row r="164" spans="1:11" hidden="1">
      <c r="A164" s="122">
        <v>1</v>
      </c>
      <c r="B164" s="725">
        <v>2</v>
      </c>
      <c r="C164" s="726"/>
      <c r="D164" s="122">
        <v>3</v>
      </c>
      <c r="E164" s="122">
        <v>4</v>
      </c>
      <c r="F164" s="122">
        <v>5</v>
      </c>
      <c r="G164" s="122">
        <v>6</v>
      </c>
      <c r="H164" s="122">
        <v>7</v>
      </c>
      <c r="I164" s="113"/>
      <c r="J164" s="113"/>
      <c r="K164" s="113"/>
    </row>
    <row r="165" spans="1:11" hidden="1">
      <c r="A165" s="369"/>
      <c r="B165" s="744"/>
      <c r="C165" s="745"/>
      <c r="D165" s="125"/>
      <c r="E165" s="125"/>
      <c r="F165" s="125"/>
      <c r="G165" s="125"/>
      <c r="H165" s="125"/>
      <c r="I165" s="113"/>
      <c r="J165" s="113"/>
      <c r="K165" s="113"/>
    </row>
    <row r="166" spans="1:11" hidden="1">
      <c r="A166" s="124"/>
      <c r="B166" s="739"/>
      <c r="C166" s="740"/>
      <c r="D166" s="125"/>
      <c r="E166" s="125"/>
      <c r="F166" s="125"/>
      <c r="G166" s="125"/>
      <c r="H166" s="125"/>
      <c r="I166" s="113"/>
      <c r="J166" s="113"/>
      <c r="K166" s="113"/>
    </row>
    <row r="167" spans="1:11" hidden="1">
      <c r="A167" s="369"/>
      <c r="B167" s="744"/>
      <c r="C167" s="741"/>
      <c r="D167" s="125"/>
      <c r="E167" s="125"/>
      <c r="F167" s="125"/>
      <c r="G167" s="125"/>
      <c r="H167" s="125"/>
      <c r="I167" s="113"/>
      <c r="J167" s="113"/>
      <c r="K167" s="113"/>
    </row>
    <row r="168" spans="1:11" hidden="1">
      <c r="A168" s="124"/>
      <c r="B168" s="739"/>
      <c r="C168" s="740"/>
      <c r="D168" s="125"/>
      <c r="E168" s="125"/>
      <c r="F168" s="125"/>
      <c r="G168" s="125"/>
      <c r="H168" s="125"/>
      <c r="I168" s="113"/>
      <c r="J168" s="113"/>
      <c r="K168" s="113"/>
    </row>
    <row r="169" spans="1:11" hidden="1">
      <c r="A169" s="369"/>
      <c r="B169" s="744"/>
      <c r="C169" s="746"/>
      <c r="D169" s="125"/>
      <c r="E169" s="125"/>
      <c r="F169" s="125"/>
      <c r="G169" s="125"/>
      <c r="H169" s="125"/>
      <c r="I169" s="113"/>
      <c r="J169" s="113"/>
      <c r="K169" s="113"/>
    </row>
    <row r="170" spans="1:11" hidden="1">
      <c r="A170" s="124"/>
      <c r="B170" s="350"/>
      <c r="C170" s="351"/>
      <c r="D170" s="125"/>
      <c r="E170" s="125"/>
      <c r="F170" s="125"/>
      <c r="G170" s="125"/>
      <c r="H170" s="125"/>
      <c r="I170" s="113"/>
      <c r="J170" s="113"/>
      <c r="K170" s="113"/>
    </row>
    <row r="171" spans="1:11" hidden="1">
      <c r="A171" s="124"/>
      <c r="B171" s="350"/>
      <c r="C171" s="351"/>
      <c r="D171" s="125"/>
      <c r="E171" s="125"/>
      <c r="F171" s="125"/>
      <c r="G171" s="125"/>
      <c r="H171" s="125"/>
      <c r="I171" s="113"/>
      <c r="J171" s="113"/>
      <c r="K171" s="113"/>
    </row>
    <row r="172" spans="1:11" hidden="1">
      <c r="A172" s="369"/>
      <c r="B172" s="744"/>
      <c r="C172" s="746"/>
      <c r="D172" s="125"/>
      <c r="E172" s="125"/>
      <c r="F172" s="125"/>
      <c r="G172" s="125"/>
      <c r="H172" s="125"/>
      <c r="I172" s="113"/>
      <c r="J172" s="113"/>
      <c r="K172" s="113"/>
    </row>
    <row r="173" spans="1:11" hidden="1">
      <c r="A173" s="124"/>
      <c r="B173" s="350"/>
      <c r="C173" s="351"/>
      <c r="D173" s="125"/>
      <c r="E173" s="125"/>
      <c r="F173" s="125"/>
      <c r="G173" s="125"/>
      <c r="H173" s="125"/>
      <c r="I173" s="113"/>
      <c r="J173" s="113"/>
      <c r="K173" s="113"/>
    </row>
    <row r="174" spans="1:11" hidden="1">
      <c r="A174" s="369"/>
      <c r="B174" s="744"/>
      <c r="C174" s="746"/>
      <c r="D174" s="125"/>
      <c r="E174" s="125"/>
      <c r="F174" s="125"/>
      <c r="G174" s="125"/>
      <c r="H174" s="125"/>
      <c r="I174" s="113"/>
      <c r="J174" s="113"/>
      <c r="K174" s="113"/>
    </row>
    <row r="175" spans="1:11" hidden="1">
      <c r="A175" s="124"/>
      <c r="B175" s="350"/>
      <c r="C175" s="351"/>
      <c r="D175" s="125"/>
      <c r="E175" s="125"/>
      <c r="F175" s="125"/>
      <c r="G175" s="125"/>
      <c r="H175" s="125"/>
      <c r="I175" s="113"/>
      <c r="J175" s="113"/>
      <c r="K175" s="113"/>
    </row>
    <row r="176" spans="1:11" hidden="1">
      <c r="A176" s="369"/>
      <c r="B176" s="744"/>
      <c r="C176" s="746"/>
      <c r="D176" s="125"/>
      <c r="E176" s="125"/>
      <c r="F176" s="125"/>
      <c r="G176" s="125"/>
      <c r="H176" s="125"/>
      <c r="I176" s="113"/>
      <c r="J176" s="113"/>
      <c r="K176" s="113"/>
    </row>
    <row r="177" spans="1:11" hidden="1">
      <c r="A177" s="124"/>
      <c r="B177" s="350"/>
      <c r="C177" s="351"/>
      <c r="D177" s="125"/>
      <c r="E177" s="125"/>
      <c r="F177" s="125"/>
      <c r="G177" s="125"/>
      <c r="H177" s="125"/>
      <c r="I177" s="113"/>
      <c r="J177" s="113"/>
      <c r="K177" s="113"/>
    </row>
    <row r="178" spans="1:11" hidden="1">
      <c r="A178" s="124"/>
      <c r="B178" s="350"/>
      <c r="C178" s="351"/>
      <c r="D178" s="125"/>
      <c r="E178" s="125"/>
      <c r="F178" s="125"/>
      <c r="G178" s="125"/>
      <c r="H178" s="125"/>
      <c r="I178" s="113"/>
      <c r="J178" s="113"/>
      <c r="K178" s="113"/>
    </row>
    <row r="179" spans="1:11" hidden="1">
      <c r="A179" s="369"/>
      <c r="B179" s="744"/>
      <c r="C179" s="745"/>
      <c r="D179" s="125"/>
      <c r="E179" s="125"/>
      <c r="F179" s="125"/>
      <c r="G179" s="125"/>
      <c r="H179" s="125"/>
      <c r="I179" s="113"/>
      <c r="J179" s="113"/>
      <c r="K179" s="113"/>
    </row>
    <row r="180" spans="1:11" hidden="1">
      <c r="A180" s="124"/>
      <c r="B180" s="739"/>
      <c r="C180" s="740"/>
      <c r="D180" s="125"/>
      <c r="E180" s="125"/>
      <c r="F180" s="125"/>
      <c r="G180" s="125"/>
      <c r="H180" s="125"/>
      <c r="I180" s="113"/>
      <c r="J180" s="113"/>
      <c r="K180" s="113"/>
    </row>
    <row r="181" spans="1:11" hidden="1">
      <c r="A181" s="369"/>
      <c r="B181" s="744"/>
      <c r="C181" s="745"/>
      <c r="D181" s="125"/>
      <c r="E181" s="125"/>
      <c r="F181" s="125"/>
      <c r="G181" s="125"/>
      <c r="H181" s="125"/>
      <c r="I181" s="113"/>
      <c r="J181" s="113"/>
      <c r="K181" s="113"/>
    </row>
    <row r="182" spans="1:11" hidden="1">
      <c r="A182" s="124"/>
      <c r="B182" s="739"/>
      <c r="C182" s="740"/>
      <c r="D182" s="125"/>
      <c r="E182" s="125"/>
      <c r="F182" s="125"/>
      <c r="G182" s="125"/>
      <c r="H182" s="125"/>
      <c r="I182" s="113"/>
      <c r="J182" s="113"/>
      <c r="K182" s="113"/>
    </row>
    <row r="183" spans="1:11" hidden="1">
      <c r="A183" s="369"/>
      <c r="B183" s="744"/>
      <c r="C183" s="745"/>
      <c r="D183" s="125"/>
      <c r="E183" s="125"/>
      <c r="F183" s="125"/>
      <c r="G183" s="125"/>
      <c r="H183" s="125"/>
      <c r="I183" s="113"/>
      <c r="J183" s="113"/>
      <c r="K183" s="113"/>
    </row>
    <row r="184" spans="1:11" hidden="1">
      <c r="A184" s="124"/>
      <c r="B184" s="756"/>
      <c r="C184" s="757"/>
      <c r="D184" s="125"/>
      <c r="E184" s="125"/>
      <c r="F184" s="125"/>
      <c r="G184" s="125"/>
      <c r="H184" s="125"/>
      <c r="I184" s="113"/>
      <c r="J184" s="113"/>
      <c r="K184" s="113"/>
    </row>
    <row r="185" spans="1:11" hidden="1">
      <c r="A185" s="166"/>
      <c r="B185" s="727" t="s">
        <v>216</v>
      </c>
      <c r="C185" s="728"/>
      <c r="D185" s="167"/>
      <c r="E185" s="167"/>
      <c r="F185" s="167">
        <f>SUM(F165:F184)</f>
        <v>0</v>
      </c>
      <c r="G185" s="167">
        <f>SUM(G165:G184)</f>
        <v>0</v>
      </c>
      <c r="H185" s="167">
        <f>SUM(H165:H184)</f>
        <v>0</v>
      </c>
      <c r="I185" s="171"/>
      <c r="J185" s="171"/>
      <c r="K185" s="171"/>
    </row>
    <row r="186" spans="1:11" hidden="1">
      <c r="A186" s="18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1:11">
      <c r="A187" s="67" t="s">
        <v>262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1:11">
      <c r="A188" s="18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1:11" ht="36.75">
      <c r="A189" s="126" t="s">
        <v>218</v>
      </c>
      <c r="B189" s="733" t="s">
        <v>237</v>
      </c>
      <c r="C189" s="734"/>
      <c r="D189" s="120" t="s">
        <v>260</v>
      </c>
      <c r="E189" s="120" t="s">
        <v>261</v>
      </c>
      <c r="F189" s="120" t="s">
        <v>303</v>
      </c>
      <c r="G189" s="120" t="s">
        <v>304</v>
      </c>
      <c r="H189" s="120" t="s">
        <v>422</v>
      </c>
      <c r="I189" s="113"/>
      <c r="J189" s="113"/>
      <c r="K189" s="113"/>
    </row>
    <row r="190" spans="1:11">
      <c r="A190" s="122">
        <v>1</v>
      </c>
      <c r="B190" s="725">
        <v>2</v>
      </c>
      <c r="C190" s="726"/>
      <c r="D190" s="122">
        <v>3</v>
      </c>
      <c r="E190" s="122">
        <v>4</v>
      </c>
      <c r="F190" s="122">
        <v>5</v>
      </c>
      <c r="G190" s="122">
        <v>6</v>
      </c>
      <c r="H190" s="122">
        <v>7</v>
      </c>
      <c r="I190" s="113"/>
      <c r="J190" s="113"/>
      <c r="K190" s="113"/>
    </row>
    <row r="191" spans="1:11">
      <c r="A191" s="370">
        <v>1</v>
      </c>
      <c r="B191" s="735" t="s">
        <v>495</v>
      </c>
      <c r="C191" s="736"/>
      <c r="D191" s="125">
        <v>4</v>
      </c>
      <c r="E191" s="125">
        <f>F191/D191</f>
        <v>2177</v>
      </c>
      <c r="F191" s="125">
        <v>8708</v>
      </c>
      <c r="G191" s="125">
        <f>F191</f>
        <v>8708</v>
      </c>
      <c r="H191" s="125">
        <f>G191</f>
        <v>8708</v>
      </c>
      <c r="I191" s="113"/>
      <c r="J191" s="113"/>
      <c r="K191" s="113"/>
    </row>
    <row r="192" spans="1:11">
      <c r="A192" s="370">
        <v>2</v>
      </c>
      <c r="B192" s="735" t="s">
        <v>496</v>
      </c>
      <c r="C192" s="736"/>
      <c r="D192" s="125">
        <v>1</v>
      </c>
      <c r="E192" s="125">
        <v>34000</v>
      </c>
      <c r="F192" s="125">
        <v>34000</v>
      </c>
      <c r="G192" s="125">
        <f>F192</f>
        <v>34000</v>
      </c>
      <c r="H192" s="125">
        <f>G192</f>
        <v>34000</v>
      </c>
      <c r="I192" s="113"/>
      <c r="J192" s="113"/>
      <c r="K192" s="113"/>
    </row>
    <row r="193" spans="1:11" hidden="1">
      <c r="A193" s="371"/>
      <c r="B193" s="739"/>
      <c r="C193" s="740"/>
      <c r="D193" s="125"/>
      <c r="E193" s="125"/>
      <c r="F193" s="125"/>
      <c r="G193" s="125"/>
      <c r="H193" s="125"/>
      <c r="I193" s="113"/>
      <c r="J193" s="113"/>
      <c r="K193" s="113"/>
    </row>
    <row r="194" spans="1:11" hidden="1">
      <c r="A194" s="370"/>
      <c r="B194" s="735"/>
      <c r="C194" s="741"/>
      <c r="D194" s="125"/>
      <c r="E194" s="125"/>
      <c r="F194" s="125"/>
      <c r="G194" s="125"/>
      <c r="H194" s="125"/>
      <c r="I194" s="113"/>
      <c r="J194" s="113"/>
      <c r="K194" s="113"/>
    </row>
    <row r="195" spans="1:11" hidden="1">
      <c r="A195" s="371"/>
      <c r="B195" s="350"/>
      <c r="C195" s="351"/>
      <c r="D195" s="125"/>
      <c r="E195" s="125"/>
      <c r="F195" s="125"/>
      <c r="G195" s="125"/>
      <c r="H195" s="125"/>
      <c r="I195" s="113"/>
      <c r="J195" s="113"/>
      <c r="K195" s="113"/>
    </row>
    <row r="196" spans="1:11" hidden="1">
      <c r="A196" s="371"/>
      <c r="B196" s="350"/>
      <c r="C196" s="351"/>
      <c r="D196" s="125"/>
      <c r="E196" s="125"/>
      <c r="F196" s="125"/>
      <c r="G196" s="125"/>
      <c r="H196" s="125"/>
      <c r="I196" s="113"/>
      <c r="J196" s="113"/>
      <c r="K196" s="113"/>
    </row>
    <row r="197" spans="1:11" hidden="1">
      <c r="A197" s="371"/>
      <c r="B197" s="350"/>
      <c r="C197" s="351"/>
      <c r="D197" s="125"/>
      <c r="E197" s="125"/>
      <c r="F197" s="125"/>
      <c r="G197" s="125"/>
      <c r="H197" s="125"/>
      <c r="I197" s="113"/>
      <c r="J197" s="113"/>
      <c r="K197" s="113"/>
    </row>
    <row r="198" spans="1:11" hidden="1">
      <c r="A198" s="371"/>
      <c r="B198" s="350"/>
      <c r="C198" s="351"/>
      <c r="D198" s="125"/>
      <c r="E198" s="125"/>
      <c r="F198" s="125"/>
      <c r="G198" s="125"/>
      <c r="H198" s="125"/>
      <c r="I198" s="113"/>
      <c r="J198" s="113"/>
      <c r="K198" s="113"/>
    </row>
    <row r="199" spans="1:11" hidden="1">
      <c r="A199" s="370"/>
      <c r="B199" s="744"/>
      <c r="C199" s="746"/>
      <c r="D199" s="125"/>
      <c r="E199" s="125"/>
      <c r="F199" s="125"/>
      <c r="G199" s="125"/>
      <c r="H199" s="125"/>
      <c r="I199" s="113"/>
      <c r="J199" s="113"/>
      <c r="K199" s="113"/>
    </row>
    <row r="200" spans="1:11" hidden="1">
      <c r="A200" s="370"/>
      <c r="B200" s="372"/>
      <c r="C200" s="351"/>
      <c r="D200" s="125"/>
      <c r="E200" s="125"/>
      <c r="F200" s="125"/>
      <c r="G200" s="125"/>
      <c r="H200" s="125"/>
      <c r="I200" s="113"/>
      <c r="J200" s="113"/>
      <c r="K200" s="113"/>
    </row>
    <row r="201" spans="1:11" hidden="1">
      <c r="A201" s="371"/>
      <c r="B201" s="350"/>
      <c r="C201" s="351"/>
      <c r="D201" s="125"/>
      <c r="E201" s="125"/>
      <c r="F201" s="125"/>
      <c r="G201" s="125"/>
      <c r="H201" s="125"/>
      <c r="I201" s="113"/>
      <c r="J201" s="113"/>
      <c r="K201" s="113"/>
    </row>
    <row r="202" spans="1:11" hidden="1">
      <c r="A202" s="370"/>
      <c r="B202" s="372"/>
      <c r="C202" s="351"/>
      <c r="D202" s="125"/>
      <c r="E202" s="125"/>
      <c r="F202" s="125"/>
      <c r="G202" s="125"/>
      <c r="H202" s="125"/>
      <c r="I202" s="113"/>
      <c r="J202" s="113"/>
      <c r="K202" s="113"/>
    </row>
    <row r="203" spans="1:11" hidden="1">
      <c r="A203" s="370"/>
      <c r="B203" s="372"/>
      <c r="C203" s="351"/>
      <c r="D203" s="125"/>
      <c r="E203" s="125"/>
      <c r="F203" s="125"/>
      <c r="G203" s="125"/>
      <c r="H203" s="125"/>
      <c r="I203" s="113"/>
      <c r="J203" s="113"/>
      <c r="K203" s="113"/>
    </row>
    <row r="204" spans="1:11" hidden="1">
      <c r="A204" s="371"/>
      <c r="B204" s="350"/>
      <c r="C204" s="351"/>
      <c r="D204" s="125"/>
      <c r="E204" s="125"/>
      <c r="F204" s="125"/>
      <c r="G204" s="125"/>
      <c r="H204" s="125"/>
      <c r="I204" s="113"/>
      <c r="J204" s="113"/>
      <c r="K204" s="113"/>
    </row>
    <row r="205" spans="1:11" hidden="1">
      <c r="A205" s="124"/>
      <c r="B205" s="319"/>
      <c r="C205" s="318"/>
      <c r="D205" s="125"/>
      <c r="E205" s="125"/>
      <c r="F205" s="125">
        <f t="shared" ref="F205:F210" si="12">E205*D205</f>
        <v>0</v>
      </c>
      <c r="G205" s="125">
        <f t="shared" ref="G205:H210" si="13">F205</f>
        <v>0</v>
      </c>
      <c r="H205" s="125">
        <f t="shared" si="13"/>
        <v>0</v>
      </c>
      <c r="I205" s="113"/>
      <c r="J205" s="113"/>
      <c r="K205" s="113"/>
    </row>
    <row r="206" spans="1:11" hidden="1">
      <c r="A206" s="124"/>
      <c r="B206" s="317"/>
      <c r="C206" s="318"/>
      <c r="D206" s="125"/>
      <c r="E206" s="125"/>
      <c r="F206" s="125">
        <f t="shared" si="12"/>
        <v>0</v>
      </c>
      <c r="G206" s="125">
        <f t="shared" si="13"/>
        <v>0</v>
      </c>
      <c r="H206" s="125">
        <f t="shared" si="13"/>
        <v>0</v>
      </c>
      <c r="I206" s="113"/>
      <c r="J206" s="113"/>
      <c r="K206" s="113"/>
    </row>
    <row r="207" spans="1:11" hidden="1">
      <c r="A207" s="124"/>
      <c r="B207" s="317"/>
      <c r="C207" s="318"/>
      <c r="D207" s="125"/>
      <c r="E207" s="125"/>
      <c r="F207" s="125">
        <f t="shared" si="12"/>
        <v>0</v>
      </c>
      <c r="G207" s="125">
        <f t="shared" si="13"/>
        <v>0</v>
      </c>
      <c r="H207" s="125">
        <f t="shared" si="13"/>
        <v>0</v>
      </c>
      <c r="I207" s="113"/>
      <c r="J207" s="113"/>
      <c r="K207" s="113"/>
    </row>
    <row r="208" spans="1:11" hidden="1">
      <c r="A208" s="124"/>
      <c r="B208" s="725"/>
      <c r="C208" s="726"/>
      <c r="D208" s="125"/>
      <c r="E208" s="125"/>
      <c r="F208" s="125">
        <f t="shared" si="12"/>
        <v>0</v>
      </c>
      <c r="G208" s="125">
        <f t="shared" si="13"/>
        <v>0</v>
      </c>
      <c r="H208" s="125">
        <f t="shared" si="13"/>
        <v>0</v>
      </c>
      <c r="I208" s="113"/>
      <c r="J208" s="113"/>
      <c r="K208" s="113"/>
    </row>
    <row r="209" spans="1:11" hidden="1">
      <c r="A209" s="124"/>
      <c r="B209" s="725"/>
      <c r="C209" s="726"/>
      <c r="D209" s="125"/>
      <c r="E209" s="125"/>
      <c r="F209" s="125">
        <f t="shared" si="12"/>
        <v>0</v>
      </c>
      <c r="G209" s="125">
        <f t="shared" si="13"/>
        <v>0</v>
      </c>
      <c r="H209" s="125">
        <f t="shared" si="13"/>
        <v>0</v>
      </c>
      <c r="I209" s="113"/>
      <c r="J209" s="113"/>
      <c r="K209" s="113"/>
    </row>
    <row r="210" spans="1:11" hidden="1">
      <c r="A210" s="124"/>
      <c r="B210" s="725"/>
      <c r="C210" s="726"/>
      <c r="D210" s="125"/>
      <c r="E210" s="125"/>
      <c r="F210" s="125">
        <f t="shared" si="12"/>
        <v>0</v>
      </c>
      <c r="G210" s="125">
        <f t="shared" si="13"/>
        <v>0</v>
      </c>
      <c r="H210" s="125">
        <f t="shared" si="13"/>
        <v>0</v>
      </c>
      <c r="I210" s="113"/>
      <c r="J210" s="113"/>
      <c r="K210" s="113"/>
    </row>
    <row r="211" spans="1:11">
      <c r="A211" s="166"/>
      <c r="B211" s="727" t="s">
        <v>216</v>
      </c>
      <c r="C211" s="728"/>
      <c r="D211" s="167"/>
      <c r="E211" s="167"/>
      <c r="F211" s="167">
        <f>SUM(F191:F210)</f>
        <v>42708</v>
      </c>
      <c r="G211" s="167">
        <f>SUM(G191:G210)</f>
        <v>42708</v>
      </c>
      <c r="H211" s="167">
        <f>SUM(H191:H210)</f>
        <v>42708</v>
      </c>
      <c r="I211" s="171"/>
      <c r="J211" s="171"/>
      <c r="K211" s="171"/>
    </row>
    <row r="212" spans="1:11">
      <c r="A212" s="18"/>
      <c r="B212" s="113"/>
      <c r="C212" s="113"/>
      <c r="D212" s="113"/>
      <c r="E212" s="373"/>
      <c r="F212" s="374"/>
      <c r="G212" s="374"/>
      <c r="H212" s="375"/>
      <c r="I212" s="113"/>
      <c r="J212" s="113"/>
      <c r="K212" s="113"/>
    </row>
    <row r="213" spans="1:11">
      <c r="A213" s="67" t="s">
        <v>263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1:11">
      <c r="A214" s="18"/>
      <c r="B214" s="113"/>
      <c r="C214" s="113"/>
      <c r="D214" s="113"/>
      <c r="E214" s="113"/>
      <c r="F214" s="113"/>
      <c r="G214" s="356"/>
      <c r="H214" s="113"/>
      <c r="I214" s="113"/>
      <c r="J214" s="113"/>
      <c r="K214" s="113"/>
    </row>
    <row r="215" spans="1:11" ht="36.75">
      <c r="A215" s="126" t="s">
        <v>218</v>
      </c>
      <c r="B215" s="733" t="s">
        <v>237</v>
      </c>
      <c r="C215" s="734"/>
      <c r="D215" s="120" t="s">
        <v>256</v>
      </c>
      <c r="E215" s="120" t="s">
        <v>261</v>
      </c>
      <c r="F215" s="120" t="s">
        <v>303</v>
      </c>
      <c r="G215" s="120" t="s">
        <v>304</v>
      </c>
      <c r="H215" s="120" t="s">
        <v>422</v>
      </c>
      <c r="I215" s="113"/>
      <c r="J215" s="113"/>
      <c r="K215" s="113"/>
    </row>
    <row r="216" spans="1:11">
      <c r="A216" s="122">
        <v>1</v>
      </c>
      <c r="B216" s="725">
        <v>2</v>
      </c>
      <c r="C216" s="726"/>
      <c r="D216" s="122">
        <v>3</v>
      </c>
      <c r="E216" s="122">
        <v>4</v>
      </c>
      <c r="F216" s="122">
        <v>5</v>
      </c>
      <c r="G216" s="122">
        <v>6</v>
      </c>
      <c r="H216" s="122">
        <v>7</v>
      </c>
      <c r="I216" s="113"/>
      <c r="J216" s="113"/>
      <c r="K216" s="113"/>
    </row>
    <row r="217" spans="1:11">
      <c r="A217" s="376">
        <v>1</v>
      </c>
      <c r="B217" s="735" t="s">
        <v>497</v>
      </c>
      <c r="C217" s="736"/>
      <c r="D217" s="125">
        <v>1</v>
      </c>
      <c r="E217" s="125">
        <v>195440</v>
      </c>
      <c r="F217" s="122">
        <f t="shared" ref="F217:F238" si="14">D217*E217</f>
        <v>195440</v>
      </c>
      <c r="G217" s="385">
        <v>194815</v>
      </c>
      <c r="H217" s="385">
        <v>196506</v>
      </c>
      <c r="I217" s="113"/>
      <c r="J217" s="356"/>
      <c r="K217" s="356"/>
    </row>
    <row r="218" spans="1:11">
      <c r="A218" s="376">
        <v>2</v>
      </c>
      <c r="B218" s="737" t="s">
        <v>498</v>
      </c>
      <c r="C218" s="738"/>
      <c r="D218" s="125">
        <v>1</v>
      </c>
      <c r="E218" s="125">
        <v>3690</v>
      </c>
      <c r="F218" s="386">
        <v>3690</v>
      </c>
      <c r="G218" s="386">
        <v>3690</v>
      </c>
      <c r="H218" s="386">
        <v>3690</v>
      </c>
      <c r="I218" s="113"/>
      <c r="J218" s="113"/>
      <c r="K218" s="113"/>
    </row>
    <row r="219" spans="1:11">
      <c r="A219" s="376">
        <v>3</v>
      </c>
      <c r="B219" s="735" t="s">
        <v>499</v>
      </c>
      <c r="C219" s="736"/>
      <c r="D219" s="125">
        <v>1</v>
      </c>
      <c r="E219" s="125">
        <v>10000</v>
      </c>
      <c r="F219" s="122">
        <f>E219</f>
        <v>10000</v>
      </c>
      <c r="G219" s="122">
        <v>10000</v>
      </c>
      <c r="H219" s="122">
        <v>10000</v>
      </c>
      <c r="I219" s="113"/>
      <c r="J219" s="113"/>
      <c r="K219" s="113"/>
    </row>
    <row r="220" spans="1:11" hidden="1">
      <c r="A220" s="377"/>
      <c r="B220" s="317"/>
      <c r="C220" s="318"/>
      <c r="D220" s="125"/>
      <c r="E220" s="125"/>
      <c r="F220" s="125">
        <f t="shared" si="14"/>
        <v>0</v>
      </c>
      <c r="G220" s="125">
        <f t="shared" ref="G220:H235" si="15">F220</f>
        <v>0</v>
      </c>
      <c r="H220" s="125">
        <f t="shared" si="15"/>
        <v>0</v>
      </c>
      <c r="I220" s="113"/>
      <c r="J220" s="113"/>
      <c r="K220" s="113"/>
    </row>
    <row r="221" spans="1:11" hidden="1">
      <c r="A221" s="377"/>
      <c r="B221" s="317"/>
      <c r="C221" s="318"/>
      <c r="D221" s="125"/>
      <c r="E221" s="125"/>
      <c r="F221" s="125">
        <f t="shared" si="14"/>
        <v>0</v>
      </c>
      <c r="G221" s="125">
        <f t="shared" si="15"/>
        <v>0</v>
      </c>
      <c r="H221" s="125">
        <f t="shared" si="15"/>
        <v>0</v>
      </c>
      <c r="I221" s="113"/>
      <c r="J221" s="113"/>
      <c r="K221" s="113"/>
    </row>
    <row r="222" spans="1:11" hidden="1">
      <c r="A222" s="130"/>
      <c r="B222" s="317"/>
      <c r="C222" s="318"/>
      <c r="D222" s="125"/>
      <c r="E222" s="125"/>
      <c r="F222" s="125">
        <f t="shared" si="14"/>
        <v>0</v>
      </c>
      <c r="G222" s="125">
        <f t="shared" si="15"/>
        <v>0</v>
      </c>
      <c r="H222" s="125">
        <f t="shared" si="15"/>
        <v>0</v>
      </c>
      <c r="I222" s="18"/>
      <c r="J222" s="18"/>
      <c r="K222" s="18"/>
    </row>
    <row r="223" spans="1:11" hidden="1">
      <c r="A223" s="130"/>
      <c r="B223" s="317"/>
      <c r="C223" s="318"/>
      <c r="D223" s="125"/>
      <c r="E223" s="125"/>
      <c r="F223" s="125">
        <f t="shared" si="14"/>
        <v>0</v>
      </c>
      <c r="G223" s="125">
        <f t="shared" si="15"/>
        <v>0</v>
      </c>
      <c r="H223" s="125">
        <f t="shared" si="15"/>
        <v>0</v>
      </c>
      <c r="I223" s="18"/>
      <c r="J223" s="18"/>
      <c r="K223" s="18"/>
    </row>
    <row r="224" spans="1:11" hidden="1">
      <c r="A224" s="130"/>
      <c r="B224" s="317"/>
      <c r="C224" s="318"/>
      <c r="D224" s="125"/>
      <c r="E224" s="125"/>
      <c r="F224" s="125">
        <f t="shared" si="14"/>
        <v>0</v>
      </c>
      <c r="G224" s="125">
        <f t="shared" si="15"/>
        <v>0</v>
      </c>
      <c r="H224" s="125">
        <f t="shared" si="15"/>
        <v>0</v>
      </c>
      <c r="I224" s="18"/>
      <c r="J224" s="18"/>
      <c r="K224" s="18"/>
    </row>
    <row r="225" spans="1:11" hidden="1">
      <c r="A225" s="130"/>
      <c r="B225" s="317"/>
      <c r="C225" s="318"/>
      <c r="D225" s="125"/>
      <c r="E225" s="125"/>
      <c r="F225" s="125">
        <f t="shared" si="14"/>
        <v>0</v>
      </c>
      <c r="G225" s="125">
        <f t="shared" si="15"/>
        <v>0</v>
      </c>
      <c r="H225" s="125">
        <f t="shared" si="15"/>
        <v>0</v>
      </c>
      <c r="I225" s="18"/>
      <c r="J225" s="18"/>
      <c r="K225" s="18"/>
    </row>
    <row r="226" spans="1:11" hidden="1">
      <c r="A226" s="130"/>
      <c r="B226" s="317"/>
      <c r="C226" s="318"/>
      <c r="D226" s="125"/>
      <c r="E226" s="125"/>
      <c r="F226" s="125">
        <f t="shared" si="14"/>
        <v>0</v>
      </c>
      <c r="G226" s="125">
        <f t="shared" si="15"/>
        <v>0</v>
      </c>
      <c r="H226" s="125">
        <f t="shared" si="15"/>
        <v>0</v>
      </c>
      <c r="I226" s="18"/>
      <c r="J226" s="18"/>
      <c r="K226" s="18"/>
    </row>
    <row r="227" spans="1:11" hidden="1">
      <c r="A227" s="130"/>
      <c r="B227" s="317"/>
      <c r="C227" s="318"/>
      <c r="D227" s="125"/>
      <c r="E227" s="125"/>
      <c r="F227" s="125">
        <f t="shared" si="14"/>
        <v>0</v>
      </c>
      <c r="G227" s="125">
        <f t="shared" si="15"/>
        <v>0</v>
      </c>
      <c r="H227" s="125">
        <f t="shared" si="15"/>
        <v>0</v>
      </c>
      <c r="I227" s="18"/>
      <c r="J227" s="18"/>
      <c r="K227" s="18"/>
    </row>
    <row r="228" spans="1:11" hidden="1">
      <c r="A228" s="130"/>
      <c r="B228" s="317"/>
      <c r="C228" s="318"/>
      <c r="D228" s="125"/>
      <c r="E228" s="125"/>
      <c r="F228" s="125">
        <f t="shared" si="14"/>
        <v>0</v>
      </c>
      <c r="G228" s="125">
        <f t="shared" si="15"/>
        <v>0</v>
      </c>
      <c r="H228" s="125">
        <f t="shared" si="15"/>
        <v>0</v>
      </c>
      <c r="I228" s="18"/>
      <c r="J228" s="18"/>
      <c r="K228" s="18"/>
    </row>
    <row r="229" spans="1:11" hidden="1">
      <c r="A229" s="130"/>
      <c r="B229" s="317"/>
      <c r="C229" s="318"/>
      <c r="D229" s="125"/>
      <c r="E229" s="125"/>
      <c r="F229" s="125">
        <f t="shared" si="14"/>
        <v>0</v>
      </c>
      <c r="G229" s="125">
        <f t="shared" si="15"/>
        <v>0</v>
      </c>
      <c r="H229" s="125">
        <f t="shared" si="15"/>
        <v>0</v>
      </c>
      <c r="I229" s="18"/>
      <c r="J229" s="18"/>
      <c r="K229" s="18"/>
    </row>
    <row r="230" spans="1:11" hidden="1">
      <c r="A230" s="130"/>
      <c r="B230" s="317"/>
      <c r="C230" s="318"/>
      <c r="D230" s="125"/>
      <c r="E230" s="125"/>
      <c r="F230" s="125">
        <f t="shared" si="14"/>
        <v>0</v>
      </c>
      <c r="G230" s="125">
        <f t="shared" si="15"/>
        <v>0</v>
      </c>
      <c r="H230" s="125">
        <f t="shared" si="15"/>
        <v>0</v>
      </c>
      <c r="I230" s="18"/>
      <c r="J230" s="18"/>
      <c r="K230" s="18"/>
    </row>
    <row r="231" spans="1:11" hidden="1">
      <c r="A231" s="130"/>
      <c r="B231" s="317"/>
      <c r="C231" s="318"/>
      <c r="D231" s="125"/>
      <c r="E231" s="125"/>
      <c r="F231" s="125">
        <f t="shared" si="14"/>
        <v>0</v>
      </c>
      <c r="G231" s="125">
        <f t="shared" si="15"/>
        <v>0</v>
      </c>
      <c r="H231" s="125">
        <f t="shared" si="15"/>
        <v>0</v>
      </c>
      <c r="I231" s="18"/>
      <c r="J231" s="18"/>
      <c r="K231" s="18"/>
    </row>
    <row r="232" spans="1:11" hidden="1">
      <c r="A232" s="130"/>
      <c r="B232" s="317"/>
      <c r="C232" s="318"/>
      <c r="D232" s="125"/>
      <c r="E232" s="125"/>
      <c r="F232" s="125">
        <f t="shared" si="14"/>
        <v>0</v>
      </c>
      <c r="G232" s="125">
        <f t="shared" si="15"/>
        <v>0</v>
      </c>
      <c r="H232" s="125">
        <f t="shared" si="15"/>
        <v>0</v>
      </c>
      <c r="I232" s="18"/>
      <c r="J232" s="18"/>
      <c r="K232" s="18"/>
    </row>
    <row r="233" spans="1:11" hidden="1">
      <c r="A233" s="130"/>
      <c r="B233" s="317"/>
      <c r="C233" s="318"/>
      <c r="D233" s="125"/>
      <c r="E233" s="125"/>
      <c r="F233" s="125">
        <f t="shared" si="14"/>
        <v>0</v>
      </c>
      <c r="G233" s="125">
        <f t="shared" si="15"/>
        <v>0</v>
      </c>
      <c r="H233" s="125">
        <f t="shared" si="15"/>
        <v>0</v>
      </c>
      <c r="I233" s="18"/>
      <c r="J233" s="18"/>
      <c r="K233" s="18"/>
    </row>
    <row r="234" spans="1:11" hidden="1">
      <c r="A234" s="130"/>
      <c r="B234" s="317"/>
      <c r="C234" s="318"/>
      <c r="D234" s="125"/>
      <c r="E234" s="125"/>
      <c r="F234" s="125">
        <f t="shared" si="14"/>
        <v>0</v>
      </c>
      <c r="G234" s="125">
        <f t="shared" si="15"/>
        <v>0</v>
      </c>
      <c r="H234" s="125">
        <f t="shared" si="15"/>
        <v>0</v>
      </c>
      <c r="I234" s="18"/>
      <c r="J234" s="18"/>
      <c r="K234" s="18"/>
    </row>
    <row r="235" spans="1:11" hidden="1">
      <c r="A235" s="124"/>
      <c r="B235" s="725"/>
      <c r="C235" s="726"/>
      <c r="D235" s="125"/>
      <c r="E235" s="125"/>
      <c r="F235" s="125">
        <f t="shared" si="14"/>
        <v>0</v>
      </c>
      <c r="G235" s="125">
        <f t="shared" si="15"/>
        <v>0</v>
      </c>
      <c r="H235" s="125">
        <f t="shared" si="15"/>
        <v>0</v>
      </c>
      <c r="I235" s="18"/>
      <c r="J235" s="18"/>
      <c r="K235" s="18"/>
    </row>
    <row r="236" spans="1:11" hidden="1">
      <c r="A236" s="124"/>
      <c r="B236" s="725"/>
      <c r="C236" s="726"/>
      <c r="D236" s="125"/>
      <c r="E236" s="125"/>
      <c r="F236" s="125">
        <f t="shared" si="14"/>
        <v>0</v>
      </c>
      <c r="G236" s="125"/>
      <c r="H236" s="125">
        <f t="shared" ref="H236" si="16">G236</f>
        <v>0</v>
      </c>
      <c r="I236" s="18"/>
      <c r="J236" s="18"/>
      <c r="K236" s="18"/>
    </row>
    <row r="237" spans="1:11" hidden="1">
      <c r="A237" s="124"/>
      <c r="B237" s="725"/>
      <c r="C237" s="726"/>
      <c r="D237" s="125"/>
      <c r="E237" s="125"/>
      <c r="F237" s="125">
        <f t="shared" si="14"/>
        <v>0</v>
      </c>
      <c r="G237" s="125"/>
      <c r="H237" s="125"/>
      <c r="I237" s="18"/>
      <c r="J237" s="18"/>
      <c r="K237" s="18"/>
    </row>
    <row r="238" spans="1:11" hidden="1">
      <c r="A238" s="124"/>
      <c r="B238" s="725"/>
      <c r="C238" s="726"/>
      <c r="D238" s="125"/>
      <c r="E238" s="125"/>
      <c r="F238" s="125">
        <f t="shared" si="14"/>
        <v>0</v>
      </c>
      <c r="G238" s="125"/>
      <c r="H238" s="125"/>
      <c r="I238" s="113"/>
      <c r="J238" s="113"/>
      <c r="K238" s="113"/>
    </row>
    <row r="239" spans="1:11">
      <c r="A239" s="166"/>
      <c r="B239" s="727" t="s">
        <v>216</v>
      </c>
      <c r="C239" s="728"/>
      <c r="D239" s="167"/>
      <c r="E239" s="167"/>
      <c r="F239" s="167">
        <f>SUM(F217:F238)</f>
        <v>209130</v>
      </c>
      <c r="G239" s="167">
        <f t="shared" ref="G239:H239" si="17">SUM(G217:G238)</f>
        <v>208505</v>
      </c>
      <c r="H239" s="167">
        <f t="shared" si="17"/>
        <v>210196</v>
      </c>
      <c r="I239" s="171"/>
      <c r="J239" s="171"/>
      <c r="K239" s="171"/>
    </row>
    <row r="240" spans="1:11" ht="15.75" thickBot="1">
      <c r="A240" s="18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1:11" ht="15.75" thickBot="1">
      <c r="A241" s="131"/>
      <c r="B241" s="729" t="s">
        <v>264</v>
      </c>
      <c r="C241" s="730"/>
      <c r="D241" s="730"/>
      <c r="E241" s="731"/>
      <c r="F241" s="175">
        <f>F239+F211+F185+F159+G147+F133+G121+F110+F98+F86+F61+I49+F74</f>
        <v>7912928</v>
      </c>
      <c r="G241" s="175">
        <f>G239+G211+G185+G159+H147+G133+H121+G110+G98+G86+G61+J49+G74</f>
        <v>8705207.9985499978</v>
      </c>
      <c r="H241" s="175">
        <f>H239+H211+H185+H159+I147+H133+I121+H110+H98+H86+H61+K49+H74</f>
        <v>8856358.0027321912</v>
      </c>
      <c r="I241" s="113"/>
      <c r="J241" s="113"/>
      <c r="K241" s="113"/>
    </row>
    <row r="242" spans="1:11">
      <c r="A242" s="18"/>
      <c r="B242" s="113"/>
      <c r="C242" s="113"/>
      <c r="D242" s="113"/>
      <c r="E242" s="113"/>
      <c r="F242" s="113"/>
      <c r="G242" s="356"/>
      <c r="H242" s="113"/>
      <c r="I242" s="113"/>
      <c r="J242" s="113"/>
      <c r="K242" s="113"/>
    </row>
    <row r="243" spans="1:11">
      <c r="A243" s="18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1:11">
      <c r="A244" s="732" t="s">
        <v>179</v>
      </c>
      <c r="B244" s="732"/>
      <c r="C244" s="732"/>
      <c r="D244" s="378" t="s">
        <v>492</v>
      </c>
      <c r="E244" s="379"/>
      <c r="F244" s="378"/>
      <c r="G244" s="379"/>
      <c r="H244" s="378" t="s">
        <v>475</v>
      </c>
      <c r="I244" s="312"/>
      <c r="J244" s="132"/>
      <c r="K244" s="132"/>
    </row>
    <row r="245" spans="1:11">
      <c r="A245" s="732" t="s">
        <v>180</v>
      </c>
      <c r="B245" s="732"/>
      <c r="C245" s="732"/>
      <c r="D245" s="134" t="s">
        <v>265</v>
      </c>
      <c r="E245" s="135"/>
      <c r="F245" s="134" t="s">
        <v>266</v>
      </c>
      <c r="G245" s="135"/>
      <c r="H245" s="322" t="s">
        <v>267</v>
      </c>
      <c r="I245" s="322"/>
      <c r="J245" s="135"/>
      <c r="K245" s="135"/>
    </row>
    <row r="246" spans="1:11">
      <c r="A246" s="321"/>
      <c r="B246" s="323"/>
      <c r="C246" s="323"/>
      <c r="D246" s="323"/>
      <c r="E246" s="323"/>
      <c r="F246" s="323"/>
      <c r="G246" s="323"/>
      <c r="H246" s="323"/>
      <c r="I246" s="323"/>
      <c r="J246" s="323"/>
      <c r="K246" s="323"/>
    </row>
    <row r="247" spans="1:11">
      <c r="A247" s="723" t="s">
        <v>182</v>
      </c>
      <c r="B247" s="723"/>
      <c r="C247" s="359" t="s">
        <v>476</v>
      </c>
      <c r="D247" s="360"/>
      <c r="E247" s="359" t="s">
        <v>477</v>
      </c>
      <c r="F247" s="132"/>
      <c r="G247" s="312"/>
      <c r="H247" s="312"/>
      <c r="I247" s="323"/>
      <c r="J247" s="323"/>
      <c r="K247" s="323"/>
    </row>
    <row r="248" spans="1:11">
      <c r="A248" s="323"/>
      <c r="B248" s="323"/>
      <c r="C248" s="134" t="s">
        <v>268</v>
      </c>
      <c r="D248" s="135"/>
      <c r="E248" s="322" t="s">
        <v>183</v>
      </c>
      <c r="F248" s="135"/>
      <c r="G248" s="724" t="s">
        <v>184</v>
      </c>
      <c r="H248" s="724"/>
      <c r="I248" s="323"/>
      <c r="J248" s="323"/>
      <c r="K248" s="323"/>
    </row>
    <row r="249" spans="1:11">
      <c r="A249" s="323"/>
      <c r="B249" s="323"/>
      <c r="C249" s="323"/>
      <c r="D249" s="323"/>
      <c r="E249" s="323"/>
      <c r="F249" s="323"/>
      <c r="G249" s="323"/>
      <c r="H249" s="323"/>
      <c r="I249" s="323"/>
      <c r="J249" s="323"/>
      <c r="K249" s="323"/>
    </row>
    <row r="250" spans="1:11">
      <c r="A250" s="323"/>
      <c r="B250" s="323"/>
      <c r="C250" s="323"/>
      <c r="D250" s="323"/>
      <c r="E250" s="323"/>
      <c r="F250" s="323"/>
      <c r="G250" s="323"/>
      <c r="H250" s="323"/>
      <c r="I250" s="323"/>
      <c r="J250" s="323"/>
      <c r="K250" s="323"/>
    </row>
    <row r="251" spans="1:11">
      <c r="A251" s="323"/>
      <c r="B251" s="323"/>
      <c r="C251" s="323"/>
      <c r="D251" s="323"/>
      <c r="E251" s="323"/>
      <c r="F251" s="323"/>
      <c r="G251" s="323"/>
      <c r="H251" s="323"/>
      <c r="I251" s="323"/>
      <c r="J251" s="323"/>
      <c r="K251" s="323"/>
    </row>
    <row r="252" spans="1:11">
      <c r="A252" s="323"/>
      <c r="B252" s="323"/>
      <c r="C252" s="323"/>
      <c r="D252" s="323"/>
      <c r="E252" s="323"/>
      <c r="F252" s="323"/>
      <c r="G252" s="323"/>
      <c r="H252" s="323"/>
      <c r="I252" s="323"/>
      <c r="J252" s="323"/>
      <c r="K252" s="323"/>
    </row>
    <row r="253" spans="1:11">
      <c r="A253" s="723" t="s">
        <v>502</v>
      </c>
      <c r="B253" s="723"/>
      <c r="C253" s="723"/>
      <c r="D253" s="723"/>
      <c r="E253" s="723"/>
      <c r="F253" s="323"/>
      <c r="G253" s="323"/>
      <c r="H253" s="323"/>
      <c r="I253" s="323"/>
      <c r="J253" s="323"/>
      <c r="K253" s="323"/>
    </row>
  </sheetData>
  <mergeCells count="131">
    <mergeCell ref="A253:E253"/>
    <mergeCell ref="B239:C239"/>
    <mergeCell ref="B241:E241"/>
    <mergeCell ref="A244:C244"/>
    <mergeCell ref="A245:C245"/>
    <mergeCell ref="A247:B247"/>
    <mergeCell ref="G248:H248"/>
    <mergeCell ref="B218:C218"/>
    <mergeCell ref="B219:C219"/>
    <mergeCell ref="B235:C235"/>
    <mergeCell ref="B236:C236"/>
    <mergeCell ref="B237:C237"/>
    <mergeCell ref="B238:C238"/>
    <mergeCell ref="B209:C209"/>
    <mergeCell ref="B210:C210"/>
    <mergeCell ref="B211:C211"/>
    <mergeCell ref="B215:C215"/>
    <mergeCell ref="B216:C216"/>
    <mergeCell ref="B217:C217"/>
    <mergeCell ref="B191:C191"/>
    <mergeCell ref="B192:C192"/>
    <mergeCell ref="B193:C193"/>
    <mergeCell ref="B194:C194"/>
    <mergeCell ref="B199:C199"/>
    <mergeCell ref="B208:C208"/>
    <mergeCell ref="B182:C182"/>
    <mergeCell ref="B183:C183"/>
    <mergeCell ref="B184:C184"/>
    <mergeCell ref="B185:C185"/>
    <mergeCell ref="B189:C189"/>
    <mergeCell ref="B190:C190"/>
    <mergeCell ref="B172:C172"/>
    <mergeCell ref="B174:C174"/>
    <mergeCell ref="B176:C176"/>
    <mergeCell ref="B179:C179"/>
    <mergeCell ref="B180:C180"/>
    <mergeCell ref="B181:C181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B158:C158"/>
    <mergeCell ref="B159:C159"/>
    <mergeCell ref="B163:C163"/>
    <mergeCell ref="B145:C145"/>
    <mergeCell ref="B147:C147"/>
    <mergeCell ref="B151:C151"/>
    <mergeCell ref="B152:C152"/>
    <mergeCell ref="B153:C153"/>
    <mergeCell ref="B154:C154"/>
    <mergeCell ref="B138:C138"/>
    <mergeCell ref="B139:C139"/>
    <mergeCell ref="B140:C140"/>
    <mergeCell ref="B141:C141"/>
    <mergeCell ref="B142:F142"/>
    <mergeCell ref="B143:C143"/>
    <mergeCell ref="B129:C129"/>
    <mergeCell ref="B130:C130"/>
    <mergeCell ref="B131:C131"/>
    <mergeCell ref="B132:C132"/>
    <mergeCell ref="B133:C133"/>
    <mergeCell ref="B137:C137"/>
    <mergeCell ref="B120:C120"/>
    <mergeCell ref="B121:C121"/>
    <mergeCell ref="B125:C125"/>
    <mergeCell ref="B126:C126"/>
    <mergeCell ref="B127:C127"/>
    <mergeCell ref="B128:C128"/>
    <mergeCell ref="B109:C109"/>
    <mergeCell ref="B110:C110"/>
    <mergeCell ref="B115:C115"/>
    <mergeCell ref="B116:C116"/>
    <mergeCell ref="B117:C117"/>
    <mergeCell ref="B119:C119"/>
    <mergeCell ref="B103:C103"/>
    <mergeCell ref="B104:C104"/>
    <mergeCell ref="B105:C105"/>
    <mergeCell ref="B106:C106"/>
    <mergeCell ref="B107:C107"/>
    <mergeCell ref="B108:C108"/>
    <mergeCell ref="B95:C95"/>
    <mergeCell ref="B96:C96"/>
    <mergeCell ref="B97:C97"/>
    <mergeCell ref="B98:C98"/>
    <mergeCell ref="A100:H100"/>
    <mergeCell ref="B102:C102"/>
    <mergeCell ref="B86:C86"/>
    <mergeCell ref="B90:C90"/>
    <mergeCell ref="B91:C91"/>
    <mergeCell ref="B92:C92"/>
    <mergeCell ref="B93:C93"/>
    <mergeCell ref="B94:C94"/>
    <mergeCell ref="B80:C80"/>
    <mergeCell ref="B81:C81"/>
    <mergeCell ref="B82:C82"/>
    <mergeCell ref="B83:C83"/>
    <mergeCell ref="B84:C84"/>
    <mergeCell ref="B85:C85"/>
    <mergeCell ref="B71:D71"/>
    <mergeCell ref="B72:D72"/>
    <mergeCell ref="B73:D73"/>
    <mergeCell ref="B74:D74"/>
    <mergeCell ref="B78:C78"/>
    <mergeCell ref="B79:C79"/>
    <mergeCell ref="B65:D65"/>
    <mergeCell ref="B66:D66"/>
    <mergeCell ref="B67:D67"/>
    <mergeCell ref="B68:D68"/>
    <mergeCell ref="B69:D69"/>
    <mergeCell ref="B70:D70"/>
    <mergeCell ref="J13:J15"/>
    <mergeCell ref="K13:K15"/>
    <mergeCell ref="D14:D15"/>
    <mergeCell ref="B47:H47"/>
    <mergeCell ref="B48:H48"/>
    <mergeCell ref="A63:H63"/>
    <mergeCell ref="A1:K1"/>
    <mergeCell ref="A4:K4"/>
    <mergeCell ref="A6:B6"/>
    <mergeCell ref="A8:C8"/>
    <mergeCell ref="A13:A15"/>
    <mergeCell ref="B13:B15"/>
    <mergeCell ref="C13:C15"/>
    <mergeCell ref="D13:G13"/>
    <mergeCell ref="H13:H15"/>
    <mergeCell ref="I13:I15"/>
  </mergeCells>
  <pageMargins left="0.25" right="0.25" top="0.75" bottom="0.75" header="0.3" footer="0.3"/>
  <pageSetup paperSize="9" scale="7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5"/>
  <sheetViews>
    <sheetView workbookViewId="0">
      <selection activeCell="F15" sqref="F15"/>
    </sheetView>
  </sheetViews>
  <sheetFormatPr defaultRowHeight="15"/>
  <cols>
    <col min="2" max="2" width="25.28515625" customWidth="1"/>
    <col min="5" max="5" width="10.5703125" customWidth="1"/>
    <col min="6" max="6" width="11.28515625" customWidth="1"/>
    <col min="7" max="7" width="12.7109375" customWidth="1"/>
    <col min="8" max="9" width="11.85546875" customWidth="1"/>
    <col min="10" max="10" width="13.5703125" customWidth="1"/>
    <col min="11" max="11" width="14.7109375" customWidth="1"/>
  </cols>
  <sheetData>
    <row r="1" spans="1:11" ht="15.75">
      <c r="A1" s="770" t="s">
        <v>203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341" t="s">
        <v>503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491</v>
      </c>
      <c r="E8" s="113"/>
      <c r="F8" s="113"/>
      <c r="G8" s="113"/>
      <c r="H8" s="113"/>
      <c r="I8" s="113"/>
      <c r="J8" s="113"/>
      <c r="K8" s="113"/>
    </row>
    <row r="9" spans="1:11">
      <c r="A9" s="314"/>
      <c r="B9" s="314"/>
      <c r="C9" s="314"/>
      <c r="D9" s="113"/>
      <c r="E9" s="113"/>
      <c r="F9" s="113"/>
      <c r="G9" s="113"/>
      <c r="H9" s="113"/>
      <c r="I9" s="113"/>
      <c r="J9" s="113"/>
      <c r="K9" s="113"/>
    </row>
    <row r="10" spans="1:11">
      <c r="A10" s="116" t="s">
        <v>206</v>
      </c>
      <c r="B10" s="117"/>
      <c r="C10" s="117"/>
      <c r="D10" s="117"/>
      <c r="E10" s="113"/>
      <c r="F10" s="113"/>
      <c r="G10" s="113"/>
      <c r="H10" s="113"/>
      <c r="I10" s="113"/>
      <c r="J10" s="113"/>
      <c r="K10" s="113"/>
    </row>
    <row r="11" spans="1:11">
      <c r="A11" s="116" t="s">
        <v>207</v>
      </c>
      <c r="B11" s="117"/>
      <c r="C11" s="117"/>
      <c r="D11" s="117"/>
      <c r="E11" s="113"/>
      <c r="F11" s="113"/>
      <c r="G11" s="113"/>
      <c r="H11" s="113"/>
      <c r="I11" s="113"/>
      <c r="J11" s="113"/>
      <c r="K11" s="113"/>
    </row>
    <row r="12" spans="1:11">
      <c r="A12" s="18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30.75" customHeight="1">
      <c r="A13" s="766"/>
      <c r="B13" s="767" t="s">
        <v>208</v>
      </c>
      <c r="C13" s="767" t="s">
        <v>209</v>
      </c>
      <c r="D13" s="767" t="s">
        <v>210</v>
      </c>
      <c r="E13" s="767"/>
      <c r="F13" s="767"/>
      <c r="G13" s="767"/>
      <c r="H13" s="767" t="s">
        <v>211</v>
      </c>
      <c r="I13" s="767" t="s">
        <v>529</v>
      </c>
      <c r="J13" s="767" t="s">
        <v>309</v>
      </c>
      <c r="K13" s="767" t="s">
        <v>530</v>
      </c>
    </row>
    <row r="14" spans="1:11">
      <c r="A14" s="766"/>
      <c r="B14" s="767"/>
      <c r="C14" s="767"/>
      <c r="D14" s="766" t="s">
        <v>212</v>
      </c>
      <c r="E14" s="316" t="s">
        <v>29</v>
      </c>
      <c r="F14" s="316"/>
      <c r="G14" s="316"/>
      <c r="H14" s="767"/>
      <c r="I14" s="767"/>
      <c r="J14" s="767"/>
      <c r="K14" s="767"/>
    </row>
    <row r="15" spans="1:11" ht="48.75">
      <c r="A15" s="766"/>
      <c r="B15" s="767"/>
      <c r="C15" s="767"/>
      <c r="D15" s="766"/>
      <c r="E15" s="120" t="s">
        <v>213</v>
      </c>
      <c r="F15" s="120" t="s">
        <v>214</v>
      </c>
      <c r="G15" s="120" t="s">
        <v>215</v>
      </c>
      <c r="H15" s="767"/>
      <c r="I15" s="767"/>
      <c r="J15" s="767"/>
      <c r="K15" s="767"/>
    </row>
    <row r="16" spans="1:11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  <c r="H16" s="122">
        <v>8</v>
      </c>
      <c r="I16" s="122">
        <v>9</v>
      </c>
      <c r="J16" s="122">
        <v>10</v>
      </c>
      <c r="K16" s="122">
        <v>11</v>
      </c>
    </row>
    <row r="17" spans="1:11">
      <c r="A17" s="122"/>
      <c r="B17" s="122" t="s">
        <v>482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4.75">
      <c r="A18" s="124">
        <v>1</v>
      </c>
      <c r="B18" s="120" t="s">
        <v>305</v>
      </c>
      <c r="C18" s="125"/>
      <c r="D18" s="125">
        <f>E18+F18+G18</f>
        <v>0</v>
      </c>
      <c r="E18" s="125"/>
      <c r="F18" s="125"/>
      <c r="G18" s="125"/>
      <c r="H18" s="125"/>
      <c r="I18" s="169">
        <f>ROUND((C18*D18+H18)*9,0)</f>
        <v>0</v>
      </c>
      <c r="J18" s="125"/>
      <c r="K18" s="125">
        <f>J22/3*9</f>
        <v>0</v>
      </c>
    </row>
    <row r="19" spans="1:11">
      <c r="A19" s="124">
        <v>2</v>
      </c>
      <c r="B19" s="120" t="s">
        <v>306</v>
      </c>
      <c r="C19" s="125"/>
      <c r="D19" s="125">
        <f t="shared" ref="D19" si="0">E19+F19+G19</f>
        <v>0</v>
      </c>
      <c r="E19" s="125"/>
      <c r="F19" s="125"/>
      <c r="G19" s="125"/>
      <c r="H19" s="125"/>
      <c r="I19" s="169">
        <f t="shared" ref="I19" si="1">ROUND((C19*D19+H19)*12,0)</f>
        <v>0</v>
      </c>
      <c r="J19" s="125"/>
      <c r="K19" s="125"/>
    </row>
    <row r="20" spans="1:11">
      <c r="A20" s="124">
        <v>3</v>
      </c>
      <c r="B20" s="120" t="s">
        <v>307</v>
      </c>
      <c r="C20" s="125">
        <v>11</v>
      </c>
      <c r="D20" s="125">
        <f>E20+F20+G20</f>
        <v>0</v>
      </c>
      <c r="E20" s="125"/>
      <c r="F20" s="125"/>
      <c r="G20" s="125"/>
      <c r="H20" s="125">
        <v>5000</v>
      </c>
      <c r="I20" s="169">
        <f>C20*H20*12</f>
        <v>660000</v>
      </c>
      <c r="J20" s="169">
        <f>I20</f>
        <v>660000</v>
      </c>
      <c r="K20" s="169">
        <f>J20</f>
        <v>660000</v>
      </c>
    </row>
    <row r="21" spans="1:11" hidden="1">
      <c r="A21" s="122"/>
      <c r="B21" s="122"/>
      <c r="C21" s="122"/>
      <c r="D21" s="122"/>
      <c r="E21" s="122"/>
      <c r="F21" s="122"/>
      <c r="G21" s="122"/>
      <c r="H21" s="122"/>
      <c r="I21" s="122"/>
      <c r="J21" s="169"/>
      <c r="K21" s="169"/>
    </row>
    <row r="22" spans="1:11" hidden="1">
      <c r="A22" s="124"/>
      <c r="B22" s="120"/>
      <c r="C22" s="125"/>
      <c r="D22" s="125"/>
      <c r="E22" s="125"/>
      <c r="F22" s="125"/>
      <c r="G22" s="125"/>
      <c r="H22" s="125"/>
      <c r="I22" s="169"/>
      <c r="J22" s="169"/>
      <c r="K22" s="169"/>
    </row>
    <row r="23" spans="1:11" hidden="1">
      <c r="A23" s="124"/>
      <c r="B23" s="120"/>
      <c r="C23" s="125"/>
      <c r="D23" s="125"/>
      <c r="E23" s="125"/>
      <c r="F23" s="125"/>
      <c r="G23" s="125"/>
      <c r="H23" s="125"/>
      <c r="I23" s="169"/>
      <c r="J23" s="169"/>
      <c r="K23" s="169"/>
    </row>
    <row r="24" spans="1:11" hidden="1">
      <c r="A24" s="124"/>
      <c r="B24" s="120"/>
      <c r="C24" s="125"/>
      <c r="D24" s="125"/>
      <c r="E24" s="125"/>
      <c r="F24" s="125"/>
      <c r="G24" s="125"/>
      <c r="H24" s="125"/>
      <c r="I24" s="169"/>
      <c r="J24" s="169"/>
      <c r="K24" s="169"/>
    </row>
    <row r="25" spans="1:11" hidden="1">
      <c r="A25" s="124"/>
      <c r="B25" s="122"/>
      <c r="C25" s="125"/>
      <c r="D25" s="125"/>
      <c r="E25" s="125"/>
      <c r="F25" s="125"/>
      <c r="G25" s="125"/>
      <c r="H25" s="125"/>
      <c r="I25" s="169"/>
      <c r="J25" s="169"/>
      <c r="K25" s="169"/>
    </row>
    <row r="26" spans="1:11" hidden="1">
      <c r="A26" s="124"/>
      <c r="B26" s="120"/>
      <c r="C26" s="125"/>
      <c r="D26" s="125"/>
      <c r="E26" s="125"/>
      <c r="F26" s="125"/>
      <c r="G26" s="125"/>
      <c r="H26" s="125"/>
      <c r="I26" s="169"/>
      <c r="J26" s="169"/>
      <c r="K26" s="169"/>
    </row>
    <row r="27" spans="1:11" hidden="1">
      <c r="A27" s="124"/>
      <c r="B27" s="120"/>
      <c r="C27" s="125"/>
      <c r="D27" s="125"/>
      <c r="E27" s="125"/>
      <c r="F27" s="125"/>
      <c r="G27" s="125"/>
      <c r="H27" s="125"/>
      <c r="I27" s="169"/>
      <c r="J27" s="169"/>
      <c r="K27" s="169"/>
    </row>
    <row r="28" spans="1:11" hidden="1">
      <c r="A28" s="124"/>
      <c r="B28" s="120"/>
      <c r="C28" s="125"/>
      <c r="D28" s="125"/>
      <c r="E28" s="125"/>
      <c r="F28" s="125"/>
      <c r="G28" s="125"/>
      <c r="H28" s="125"/>
      <c r="I28" s="169"/>
      <c r="J28" s="169"/>
      <c r="K28" s="169"/>
    </row>
    <row r="29" spans="1:11">
      <c r="A29" s="166" t="s">
        <v>216</v>
      </c>
      <c r="B29" s="167"/>
      <c r="C29" s="167"/>
      <c r="D29" s="167"/>
      <c r="E29" s="167"/>
      <c r="F29" s="167"/>
      <c r="G29" s="167"/>
      <c r="H29" s="167"/>
      <c r="I29" s="170">
        <f>SUM(I18:I28)</f>
        <v>660000</v>
      </c>
      <c r="J29" s="170">
        <f t="shared" ref="J29:K29" si="2">SUM(J18:J28)</f>
        <v>660000</v>
      </c>
      <c r="K29" s="170">
        <f t="shared" si="2"/>
        <v>660000</v>
      </c>
    </row>
    <row r="30" spans="1:11">
      <c r="A30" s="18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idden="1">
      <c r="A31" s="67" t="s">
        <v>217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362"/>
    </row>
    <row r="32" spans="1:11" hidden="1">
      <c r="A32" s="18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84.75" hidden="1">
      <c r="A33" s="126" t="s">
        <v>218</v>
      </c>
      <c r="B33" s="120" t="s">
        <v>219</v>
      </c>
      <c r="C33" s="120" t="s">
        <v>220</v>
      </c>
      <c r="D33" s="120" t="s">
        <v>221</v>
      </c>
      <c r="E33" s="120" t="s">
        <v>222</v>
      </c>
      <c r="F33" s="120" t="s">
        <v>223</v>
      </c>
      <c r="G33" s="120" t="s">
        <v>223</v>
      </c>
      <c r="H33" s="120" t="s">
        <v>223</v>
      </c>
      <c r="I33" s="127"/>
      <c r="J33" s="127"/>
      <c r="K33" s="127"/>
    </row>
    <row r="34" spans="1:11" hidden="1">
      <c r="A34" s="122">
        <v>1</v>
      </c>
      <c r="B34" s="122">
        <v>2</v>
      </c>
      <c r="C34" s="122">
        <v>3</v>
      </c>
      <c r="D34" s="122">
        <v>4</v>
      </c>
      <c r="E34" s="122">
        <v>5</v>
      </c>
      <c r="F34" s="122">
        <v>6</v>
      </c>
      <c r="G34" s="122">
        <v>7</v>
      </c>
      <c r="H34" s="122">
        <v>8</v>
      </c>
      <c r="I34" s="315"/>
      <c r="J34" s="315"/>
      <c r="K34" s="315"/>
    </row>
    <row r="35" spans="1:11" hidden="1">
      <c r="A35" s="124"/>
      <c r="B35" s="125"/>
      <c r="C35" s="125"/>
      <c r="D35" s="125"/>
      <c r="E35" s="125"/>
      <c r="F35" s="125"/>
      <c r="G35" s="125"/>
      <c r="H35" s="125"/>
      <c r="I35" s="113"/>
      <c r="J35" s="113"/>
      <c r="K35" s="113"/>
    </row>
    <row r="36" spans="1:11" hidden="1">
      <c r="A36" s="124"/>
      <c r="B36" s="125"/>
      <c r="C36" s="125"/>
      <c r="D36" s="125"/>
      <c r="E36" s="125"/>
      <c r="F36" s="125"/>
      <c r="G36" s="125"/>
      <c r="H36" s="125"/>
      <c r="I36" s="113"/>
      <c r="J36" s="113"/>
      <c r="K36" s="113"/>
    </row>
    <row r="37" spans="1:11" hidden="1">
      <c r="A37" s="124"/>
      <c r="B37" s="125"/>
      <c r="C37" s="125"/>
      <c r="D37" s="125"/>
      <c r="E37" s="125"/>
      <c r="F37" s="125"/>
      <c r="G37" s="125"/>
      <c r="H37" s="125"/>
      <c r="I37" s="113"/>
      <c r="J37" s="113"/>
      <c r="K37" s="113"/>
    </row>
    <row r="38" spans="1:11" hidden="1">
      <c r="A38" s="124"/>
      <c r="B38" s="125"/>
      <c r="C38" s="125"/>
      <c r="D38" s="125"/>
      <c r="E38" s="125"/>
      <c r="F38" s="125"/>
      <c r="G38" s="125"/>
      <c r="H38" s="125"/>
      <c r="I38" s="113"/>
      <c r="J38" s="113"/>
      <c r="K38" s="113"/>
    </row>
    <row r="39" spans="1:11" hidden="1">
      <c r="A39" s="124"/>
      <c r="B39" s="125"/>
      <c r="C39" s="125"/>
      <c r="D39" s="125"/>
      <c r="E39" s="125"/>
      <c r="F39" s="125"/>
      <c r="G39" s="125"/>
      <c r="H39" s="125"/>
      <c r="I39" s="113"/>
      <c r="J39" s="113"/>
      <c r="K39" s="113"/>
    </row>
    <row r="40" spans="1:11" hidden="1">
      <c r="A40" s="124"/>
      <c r="B40" s="125"/>
      <c r="C40" s="125"/>
      <c r="D40" s="125"/>
      <c r="E40" s="125"/>
      <c r="F40" s="125"/>
      <c r="G40" s="125"/>
      <c r="H40" s="125"/>
      <c r="I40" s="113"/>
      <c r="J40" s="113"/>
      <c r="K40" s="113"/>
    </row>
    <row r="41" spans="1:11" hidden="1">
      <c r="A41" s="124"/>
      <c r="B41" s="125"/>
      <c r="C41" s="125"/>
      <c r="D41" s="125"/>
      <c r="E41" s="125"/>
      <c r="F41" s="125"/>
      <c r="G41" s="125"/>
      <c r="H41" s="125"/>
      <c r="I41" s="113"/>
      <c r="J41" s="113"/>
      <c r="K41" s="113"/>
    </row>
    <row r="42" spans="1:11" hidden="1">
      <c r="A42" s="18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>
      <c r="A43" s="763" t="s">
        <v>224</v>
      </c>
      <c r="B43" s="763"/>
      <c r="C43" s="763"/>
      <c r="D43" s="763"/>
      <c r="E43" s="763"/>
      <c r="F43" s="763"/>
      <c r="G43" s="763"/>
      <c r="H43" s="763"/>
      <c r="I43" s="113"/>
      <c r="J43" s="113"/>
      <c r="K43" s="113"/>
    </row>
    <row r="44" spans="1:11">
      <c r="A44" s="18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1:11" ht="72.75">
      <c r="A45" s="126" t="s">
        <v>218</v>
      </c>
      <c r="B45" s="733" t="s">
        <v>225</v>
      </c>
      <c r="C45" s="764"/>
      <c r="D45" s="734"/>
      <c r="E45" s="120" t="s">
        <v>226</v>
      </c>
      <c r="F45" s="120" t="s">
        <v>301</v>
      </c>
      <c r="G45" s="120" t="s">
        <v>302</v>
      </c>
      <c r="H45" s="120" t="s">
        <v>421</v>
      </c>
      <c r="I45" s="113"/>
      <c r="J45" s="113"/>
      <c r="K45" s="113"/>
    </row>
    <row r="46" spans="1:11">
      <c r="A46" s="122">
        <v>1</v>
      </c>
      <c r="B46" s="725">
        <v>2</v>
      </c>
      <c r="C46" s="765"/>
      <c r="D46" s="726"/>
      <c r="E46" s="122">
        <v>3</v>
      </c>
      <c r="F46" s="122">
        <v>4</v>
      </c>
      <c r="G46" s="122">
        <v>5</v>
      </c>
      <c r="H46" s="122">
        <v>6</v>
      </c>
      <c r="I46" s="113"/>
      <c r="J46" s="113"/>
      <c r="K46" s="113"/>
    </row>
    <row r="47" spans="1:11">
      <c r="A47" s="124">
        <v>1</v>
      </c>
      <c r="B47" s="759" t="s">
        <v>227</v>
      </c>
      <c r="C47" s="760"/>
      <c r="D47" s="761"/>
      <c r="E47" s="169"/>
      <c r="F47" s="169">
        <f>F49</f>
        <v>145200</v>
      </c>
      <c r="G47" s="169">
        <f t="shared" ref="G47:H47" si="3">G49</f>
        <v>145200</v>
      </c>
      <c r="H47" s="169">
        <f t="shared" si="3"/>
        <v>145200</v>
      </c>
      <c r="I47" s="113"/>
      <c r="J47" s="113"/>
      <c r="K47" s="113"/>
    </row>
    <row r="48" spans="1:11">
      <c r="A48" s="124"/>
      <c r="B48" s="759" t="s">
        <v>29</v>
      </c>
      <c r="C48" s="760"/>
      <c r="D48" s="761"/>
      <c r="E48" s="169"/>
      <c r="F48" s="169"/>
      <c r="G48" s="169"/>
      <c r="H48" s="169"/>
      <c r="I48" s="113"/>
      <c r="J48" s="113"/>
      <c r="K48" s="113"/>
    </row>
    <row r="49" spans="1:11">
      <c r="A49" s="130"/>
      <c r="B49" s="759" t="s">
        <v>228</v>
      </c>
      <c r="C49" s="760"/>
      <c r="D49" s="761"/>
      <c r="E49" s="169">
        <f>I20+I18+I22+I24+I26+I28</f>
        <v>660000</v>
      </c>
      <c r="F49" s="169">
        <f>ROUND(E49*0.22,0)</f>
        <v>145200</v>
      </c>
      <c r="G49" s="169">
        <f>ROUND(J29*0.22,0)</f>
        <v>145200</v>
      </c>
      <c r="H49" s="169">
        <f>ROUND(K29*0.22,0)</f>
        <v>145200</v>
      </c>
      <c r="I49" s="113"/>
      <c r="J49" s="113"/>
      <c r="K49" s="113"/>
    </row>
    <row r="50" spans="1:11">
      <c r="A50" s="124">
        <v>2</v>
      </c>
      <c r="B50" s="759" t="s">
        <v>229</v>
      </c>
      <c r="C50" s="760"/>
      <c r="D50" s="761"/>
      <c r="E50" s="169"/>
      <c r="F50" s="169">
        <f>F51+F52</f>
        <v>20460</v>
      </c>
      <c r="G50" s="169">
        <f t="shared" ref="G50:H50" si="4">G51+G52</f>
        <v>20460</v>
      </c>
      <c r="H50" s="169">
        <f t="shared" si="4"/>
        <v>20460</v>
      </c>
      <c r="I50" s="113"/>
      <c r="J50" s="113"/>
      <c r="K50" s="113"/>
    </row>
    <row r="51" spans="1:11">
      <c r="A51" s="124"/>
      <c r="B51" s="759" t="s">
        <v>230</v>
      </c>
      <c r="C51" s="760"/>
      <c r="D51" s="761"/>
      <c r="E51" s="169">
        <f>E49</f>
        <v>660000</v>
      </c>
      <c r="F51" s="169">
        <f>ROUND(E51*0.029,0)</f>
        <v>19140</v>
      </c>
      <c r="G51" s="169">
        <f>ROUND(J29*0.029,0)</f>
        <v>19140</v>
      </c>
      <c r="H51" s="169">
        <f>ROUND(K29*0.029,0)</f>
        <v>19140</v>
      </c>
      <c r="I51" s="113"/>
      <c r="J51" s="113"/>
      <c r="K51" s="113"/>
    </row>
    <row r="52" spans="1:11">
      <c r="A52" s="124"/>
      <c r="B52" s="759" t="s">
        <v>231</v>
      </c>
      <c r="C52" s="760"/>
      <c r="D52" s="761"/>
      <c r="E52" s="169">
        <f>E51</f>
        <v>660000</v>
      </c>
      <c r="F52" s="169">
        <f>ROUND(E52*0.002,0)</f>
        <v>1320</v>
      </c>
      <c r="G52" s="169">
        <f>ROUND(J29*0.002,0)</f>
        <v>1320</v>
      </c>
      <c r="H52" s="169">
        <f>ROUND(K29*0.002,0)</f>
        <v>1320</v>
      </c>
      <c r="I52" s="113"/>
      <c r="J52" s="113"/>
      <c r="K52" s="113"/>
    </row>
    <row r="53" spans="1:11">
      <c r="A53" s="124">
        <v>3</v>
      </c>
      <c r="B53" s="759" t="s">
        <v>232</v>
      </c>
      <c r="C53" s="760"/>
      <c r="D53" s="761"/>
      <c r="E53" s="169">
        <f>E52</f>
        <v>660000</v>
      </c>
      <c r="F53" s="169">
        <f>ROUND(E53*0.051,0)</f>
        <v>33660</v>
      </c>
      <c r="G53" s="169">
        <f>ROUND(J29*0.051,0)</f>
        <v>33660</v>
      </c>
      <c r="H53" s="169">
        <f>ROUND(K29*0.051,0)</f>
        <v>33660</v>
      </c>
      <c r="I53" s="113"/>
      <c r="J53" s="113"/>
      <c r="K53" s="113"/>
    </row>
    <row r="54" spans="1:11">
      <c r="A54" s="166"/>
      <c r="B54" s="762" t="s">
        <v>216</v>
      </c>
      <c r="C54" s="762"/>
      <c r="D54" s="762"/>
      <c r="E54" s="170"/>
      <c r="F54" s="170">
        <f>F47+F50+F53</f>
        <v>199320</v>
      </c>
      <c r="G54" s="170">
        <f>G47+G50+G53</f>
        <v>199320</v>
      </c>
      <c r="H54" s="170">
        <f>H47+H50+H53</f>
        <v>199320</v>
      </c>
      <c r="I54" s="171"/>
      <c r="J54" s="171"/>
      <c r="K54" s="171"/>
    </row>
    <row r="55" spans="1:11">
      <c r="A55" s="18"/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idden="1">
      <c r="A56" s="67" t="s">
        <v>233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idden="1">
      <c r="A57" s="18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48.75" hidden="1">
      <c r="A58" s="126" t="s">
        <v>218</v>
      </c>
      <c r="B58" s="733" t="s">
        <v>0</v>
      </c>
      <c r="C58" s="734"/>
      <c r="D58" s="120" t="s">
        <v>234</v>
      </c>
      <c r="E58" s="120" t="s">
        <v>235</v>
      </c>
      <c r="F58" s="120" t="s">
        <v>484</v>
      </c>
      <c r="G58" s="120" t="s">
        <v>303</v>
      </c>
      <c r="H58" s="120" t="s">
        <v>304</v>
      </c>
      <c r="I58" s="113"/>
      <c r="J58" s="113"/>
      <c r="K58" s="113"/>
    </row>
    <row r="59" spans="1:11" hidden="1">
      <c r="A59" s="122">
        <v>1</v>
      </c>
      <c r="B59" s="725">
        <v>2</v>
      </c>
      <c r="C59" s="726"/>
      <c r="D59" s="122">
        <v>3</v>
      </c>
      <c r="E59" s="122">
        <v>4</v>
      </c>
      <c r="F59" s="122">
        <v>5</v>
      </c>
      <c r="G59" s="122">
        <v>6</v>
      </c>
      <c r="H59" s="122">
        <v>7</v>
      </c>
      <c r="I59" s="113"/>
      <c r="J59" s="113"/>
      <c r="K59" s="113"/>
    </row>
    <row r="60" spans="1:11" hidden="1">
      <c r="A60" s="124">
        <v>1</v>
      </c>
      <c r="B60" s="725" t="s">
        <v>310</v>
      </c>
      <c r="C60" s="726"/>
      <c r="D60" s="125"/>
      <c r="E60" s="125"/>
      <c r="F60" s="169">
        <f>D60*E60</f>
        <v>0</v>
      </c>
      <c r="G60" s="169"/>
      <c r="H60" s="169"/>
      <c r="I60" s="113"/>
      <c r="J60" s="113"/>
      <c r="K60" s="113"/>
    </row>
    <row r="61" spans="1:11" hidden="1">
      <c r="A61" s="124">
        <v>2</v>
      </c>
      <c r="B61" s="725" t="s">
        <v>352</v>
      </c>
      <c r="C61" s="726"/>
      <c r="D61" s="125"/>
      <c r="E61" s="125"/>
      <c r="F61" s="169">
        <f t="shared" ref="F61:F65" si="5">D61*E61</f>
        <v>0</v>
      </c>
      <c r="G61" s="169"/>
      <c r="H61" s="169"/>
      <c r="I61" s="113"/>
      <c r="J61" s="113"/>
      <c r="K61" s="113"/>
    </row>
    <row r="62" spans="1:11" hidden="1">
      <c r="A62" s="124"/>
      <c r="B62" s="725"/>
      <c r="C62" s="726"/>
      <c r="D62" s="125"/>
      <c r="E62" s="125"/>
      <c r="F62" s="169">
        <f t="shared" si="5"/>
        <v>0</v>
      </c>
      <c r="G62" s="169"/>
      <c r="H62" s="169"/>
      <c r="I62" s="113"/>
      <c r="J62" s="113"/>
      <c r="K62" s="113"/>
    </row>
    <row r="63" spans="1:11" hidden="1">
      <c r="A63" s="124"/>
      <c r="B63" s="725"/>
      <c r="C63" s="726"/>
      <c r="D63" s="125"/>
      <c r="E63" s="125"/>
      <c r="F63" s="169">
        <f t="shared" si="5"/>
        <v>0</v>
      </c>
      <c r="G63" s="169"/>
      <c r="H63" s="169"/>
      <c r="I63" s="113"/>
      <c r="J63" s="113"/>
      <c r="K63" s="113"/>
    </row>
    <row r="64" spans="1:11" hidden="1">
      <c r="A64" s="124"/>
      <c r="B64" s="725"/>
      <c r="C64" s="726"/>
      <c r="D64" s="125"/>
      <c r="E64" s="125"/>
      <c r="F64" s="169">
        <f t="shared" si="5"/>
        <v>0</v>
      </c>
      <c r="G64" s="169"/>
      <c r="H64" s="169"/>
      <c r="I64" s="113"/>
      <c r="J64" s="113"/>
      <c r="K64" s="113"/>
    </row>
    <row r="65" spans="1:11" hidden="1">
      <c r="A65" s="124"/>
      <c r="B65" s="725"/>
      <c r="C65" s="726"/>
      <c r="D65" s="125"/>
      <c r="E65" s="125"/>
      <c r="F65" s="169">
        <f t="shared" si="5"/>
        <v>0</v>
      </c>
      <c r="G65" s="169"/>
      <c r="H65" s="169"/>
      <c r="I65" s="113"/>
      <c r="J65" s="113"/>
      <c r="K65" s="113"/>
    </row>
    <row r="66" spans="1:11" hidden="1">
      <c r="A66" s="166"/>
      <c r="B66" s="727" t="s">
        <v>216</v>
      </c>
      <c r="C66" s="728"/>
      <c r="D66" s="167"/>
      <c r="E66" s="167"/>
      <c r="F66" s="170">
        <f>SUM(F60:F65)</f>
        <v>0</v>
      </c>
      <c r="G66" s="170">
        <f t="shared" ref="G66:H66" si="6">SUM(G60:G65)</f>
        <v>0</v>
      </c>
      <c r="H66" s="170">
        <f t="shared" si="6"/>
        <v>0</v>
      </c>
      <c r="I66" s="171"/>
      <c r="J66" s="171"/>
      <c r="K66" s="171"/>
    </row>
    <row r="67" spans="1:11" hidden="1">
      <c r="A67" s="18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11" hidden="1">
      <c r="A68" s="67" t="s">
        <v>236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</row>
    <row r="69" spans="1:11" hidden="1">
      <c r="A69" s="18"/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72.75" hidden="1">
      <c r="A70" s="126" t="s">
        <v>218</v>
      </c>
      <c r="B70" s="733" t="s">
        <v>237</v>
      </c>
      <c r="C70" s="734"/>
      <c r="D70" s="120" t="s">
        <v>238</v>
      </c>
      <c r="E70" s="120" t="s">
        <v>239</v>
      </c>
      <c r="F70" s="120" t="s">
        <v>485</v>
      </c>
      <c r="G70" s="120" t="s">
        <v>486</v>
      </c>
      <c r="H70" s="120" t="s">
        <v>487</v>
      </c>
      <c r="I70" s="113"/>
      <c r="J70" s="113"/>
      <c r="K70" s="113"/>
    </row>
    <row r="71" spans="1:11" hidden="1">
      <c r="A71" s="122">
        <v>1</v>
      </c>
      <c r="B71" s="725">
        <v>2</v>
      </c>
      <c r="C71" s="726"/>
      <c r="D71" s="122">
        <v>3</v>
      </c>
      <c r="E71" s="122">
        <v>4</v>
      </c>
      <c r="F71" s="122">
        <v>5</v>
      </c>
      <c r="G71" s="122">
        <v>6</v>
      </c>
      <c r="H71" s="122">
        <v>7</v>
      </c>
      <c r="I71" s="113"/>
      <c r="J71" s="113"/>
      <c r="K71" s="113"/>
    </row>
    <row r="72" spans="1:11" hidden="1">
      <c r="A72" s="124">
        <v>1</v>
      </c>
      <c r="B72" s="756" t="s">
        <v>311</v>
      </c>
      <c r="C72" s="757"/>
      <c r="D72" s="125"/>
      <c r="E72" s="174"/>
      <c r="F72" s="169"/>
      <c r="G72" s="169"/>
      <c r="H72" s="169"/>
      <c r="I72" s="113"/>
      <c r="J72" s="113"/>
      <c r="K72" s="113"/>
    </row>
    <row r="73" spans="1:11" hidden="1">
      <c r="A73" s="124">
        <v>2</v>
      </c>
      <c r="B73" s="756" t="s">
        <v>312</v>
      </c>
      <c r="C73" s="757"/>
      <c r="D73" s="125"/>
      <c r="E73" s="174"/>
      <c r="F73" s="169">
        <f>ROUND(D73*E73,0)</f>
        <v>0</v>
      </c>
      <c r="G73" s="169">
        <f>F73</f>
        <v>0</v>
      </c>
      <c r="H73" s="169">
        <f>G73</f>
        <v>0</v>
      </c>
      <c r="I73" s="113"/>
      <c r="J73" s="113"/>
      <c r="K73" s="113"/>
    </row>
    <row r="74" spans="1:11" hidden="1">
      <c r="A74" s="124"/>
      <c r="B74" s="725"/>
      <c r="C74" s="726"/>
      <c r="D74" s="125"/>
      <c r="E74" s="125"/>
      <c r="F74" s="169"/>
      <c r="G74" s="169"/>
      <c r="H74" s="169"/>
      <c r="I74" s="113"/>
      <c r="J74" s="113"/>
      <c r="K74" s="113"/>
    </row>
    <row r="75" spans="1:11" hidden="1">
      <c r="A75" s="124"/>
      <c r="B75" s="725"/>
      <c r="C75" s="726"/>
      <c r="D75" s="125"/>
      <c r="E75" s="125"/>
      <c r="F75" s="169"/>
      <c r="G75" s="169"/>
      <c r="H75" s="169"/>
      <c r="I75" s="113"/>
      <c r="J75" s="113"/>
      <c r="K75" s="113"/>
    </row>
    <row r="76" spans="1:11" hidden="1">
      <c r="A76" s="124"/>
      <c r="B76" s="725"/>
      <c r="C76" s="726"/>
      <c r="D76" s="125"/>
      <c r="E76" s="125"/>
      <c r="F76" s="169"/>
      <c r="G76" s="169"/>
      <c r="H76" s="169"/>
      <c r="I76" s="113"/>
      <c r="J76" s="113"/>
      <c r="K76" s="113"/>
    </row>
    <row r="77" spans="1:11" hidden="1">
      <c r="A77" s="124"/>
      <c r="B77" s="725"/>
      <c r="C77" s="726"/>
      <c r="D77" s="125"/>
      <c r="E77" s="125"/>
      <c r="F77" s="169"/>
      <c r="G77" s="169"/>
      <c r="H77" s="169"/>
      <c r="I77" s="113"/>
      <c r="J77" s="113"/>
      <c r="K77" s="113"/>
    </row>
    <row r="78" spans="1:11" hidden="1">
      <c r="A78" s="166"/>
      <c r="B78" s="727" t="s">
        <v>216</v>
      </c>
      <c r="C78" s="728"/>
      <c r="D78" s="167"/>
      <c r="E78" s="167"/>
      <c r="F78" s="170">
        <f>SUM(F72:F77)</f>
        <v>0</v>
      </c>
      <c r="G78" s="170">
        <f t="shared" ref="G78:H78" si="7">SUM(G72:G77)</f>
        <v>0</v>
      </c>
      <c r="H78" s="170">
        <f t="shared" si="7"/>
        <v>0</v>
      </c>
      <c r="I78" s="171"/>
      <c r="J78" s="171"/>
      <c r="K78" s="171"/>
    </row>
    <row r="79" spans="1:11" hidden="1">
      <c r="A79" s="18"/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spans="1:11" hidden="1">
      <c r="A80" s="758" t="s">
        <v>240</v>
      </c>
      <c r="B80" s="758"/>
      <c r="C80" s="758"/>
      <c r="D80" s="758"/>
      <c r="E80" s="758"/>
      <c r="F80" s="758"/>
      <c r="G80" s="758"/>
      <c r="H80" s="758"/>
      <c r="I80" s="113"/>
      <c r="J80" s="113"/>
      <c r="K80" s="113"/>
    </row>
    <row r="81" spans="1:11" hidden="1">
      <c r="A81" s="18"/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  <row r="82" spans="1:11" ht="48.75" hidden="1">
      <c r="A82" s="126" t="s">
        <v>218</v>
      </c>
      <c r="B82" s="733" t="s">
        <v>0</v>
      </c>
      <c r="C82" s="734"/>
      <c r="D82" s="120" t="s">
        <v>241</v>
      </c>
      <c r="E82" s="120" t="s">
        <v>235</v>
      </c>
      <c r="F82" s="120" t="s">
        <v>242</v>
      </c>
      <c r="G82" s="120" t="s">
        <v>242</v>
      </c>
      <c r="H82" s="120" t="s">
        <v>242</v>
      </c>
      <c r="I82" s="113"/>
      <c r="J82" s="113"/>
      <c r="K82" s="113"/>
    </row>
    <row r="83" spans="1:11" hidden="1">
      <c r="A83" s="122">
        <v>1</v>
      </c>
      <c r="B83" s="725">
        <v>2</v>
      </c>
      <c r="C83" s="726"/>
      <c r="D83" s="122">
        <v>3</v>
      </c>
      <c r="E83" s="122">
        <v>4</v>
      </c>
      <c r="F83" s="122">
        <v>5</v>
      </c>
      <c r="G83" s="122">
        <v>6</v>
      </c>
      <c r="H83" s="122">
        <v>7</v>
      </c>
      <c r="I83" s="113"/>
      <c r="J83" s="113"/>
      <c r="K83" s="113"/>
    </row>
    <row r="84" spans="1:11" hidden="1">
      <c r="A84" s="124"/>
      <c r="B84" s="725"/>
      <c r="C84" s="726"/>
      <c r="D84" s="125"/>
      <c r="E84" s="125"/>
      <c r="F84" s="125"/>
      <c r="G84" s="125"/>
      <c r="H84" s="125"/>
      <c r="I84" s="113"/>
      <c r="J84" s="113"/>
      <c r="K84" s="113"/>
    </row>
    <row r="85" spans="1:11" hidden="1">
      <c r="A85" s="124"/>
      <c r="B85" s="725"/>
      <c r="C85" s="726"/>
      <c r="D85" s="125"/>
      <c r="E85" s="125"/>
      <c r="F85" s="125"/>
      <c r="G85" s="125"/>
      <c r="H85" s="125"/>
      <c r="I85" s="113"/>
      <c r="J85" s="113"/>
      <c r="K85" s="113"/>
    </row>
    <row r="86" spans="1:11" hidden="1">
      <c r="A86" s="124"/>
      <c r="B86" s="725"/>
      <c r="C86" s="726"/>
      <c r="D86" s="125"/>
      <c r="E86" s="125"/>
      <c r="F86" s="125"/>
      <c r="G86" s="125"/>
      <c r="H86" s="125"/>
      <c r="I86" s="113"/>
      <c r="J86" s="113"/>
      <c r="K86" s="113"/>
    </row>
    <row r="87" spans="1:11" hidden="1">
      <c r="A87" s="124"/>
      <c r="B87" s="725"/>
      <c r="C87" s="726"/>
      <c r="D87" s="125"/>
      <c r="E87" s="125"/>
      <c r="F87" s="125"/>
      <c r="G87" s="125"/>
      <c r="H87" s="125"/>
      <c r="I87" s="113"/>
      <c r="J87" s="113"/>
      <c r="K87" s="113"/>
    </row>
    <row r="88" spans="1:11" hidden="1">
      <c r="A88" s="124"/>
      <c r="B88" s="725"/>
      <c r="C88" s="726"/>
      <c r="D88" s="125"/>
      <c r="E88" s="125"/>
      <c r="F88" s="125"/>
      <c r="G88" s="125"/>
      <c r="H88" s="125"/>
      <c r="I88" s="113"/>
      <c r="J88" s="113"/>
      <c r="K88" s="113"/>
    </row>
    <row r="89" spans="1:11" hidden="1">
      <c r="A89" s="124"/>
      <c r="B89" s="725"/>
      <c r="C89" s="726"/>
      <c r="D89" s="125"/>
      <c r="E89" s="125"/>
      <c r="F89" s="125"/>
      <c r="G89" s="125"/>
      <c r="H89" s="125"/>
      <c r="I89" s="113"/>
      <c r="J89" s="113"/>
      <c r="K89" s="113"/>
    </row>
    <row r="90" spans="1:11" hidden="1">
      <c r="A90" s="124"/>
      <c r="B90" s="725" t="s">
        <v>216</v>
      </c>
      <c r="C90" s="726"/>
      <c r="D90" s="125"/>
      <c r="E90" s="125"/>
      <c r="F90" s="125"/>
      <c r="G90" s="125"/>
      <c r="H90" s="125"/>
      <c r="I90" s="113"/>
      <c r="J90" s="113"/>
      <c r="K90" s="113"/>
    </row>
    <row r="91" spans="1:11" hidden="1">
      <c r="A91" s="18"/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spans="1:11" hidden="1">
      <c r="A92" s="67" t="s">
        <v>243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1:11" hidden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hidden="1">
      <c r="A94" s="18"/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spans="1:11" ht="36.75" hidden="1">
      <c r="A95" s="126" t="s">
        <v>218</v>
      </c>
      <c r="B95" s="733" t="s">
        <v>313</v>
      </c>
      <c r="C95" s="734"/>
      <c r="D95" s="120" t="s">
        <v>245</v>
      </c>
      <c r="E95" s="120" t="s">
        <v>246</v>
      </c>
      <c r="F95" s="120" t="s">
        <v>247</v>
      </c>
      <c r="G95" s="120" t="s">
        <v>484</v>
      </c>
      <c r="H95" s="120" t="s">
        <v>303</v>
      </c>
      <c r="I95" s="120" t="s">
        <v>304</v>
      </c>
      <c r="J95" s="113"/>
      <c r="K95" s="113"/>
    </row>
    <row r="96" spans="1:11" hidden="1">
      <c r="A96" s="122">
        <v>1</v>
      </c>
      <c r="B96" s="725">
        <v>2</v>
      </c>
      <c r="C96" s="726"/>
      <c r="D96" s="122">
        <v>3</v>
      </c>
      <c r="E96" s="122">
        <v>4</v>
      </c>
      <c r="F96" s="122">
        <v>5</v>
      </c>
      <c r="G96" s="122">
        <v>6</v>
      </c>
      <c r="H96" s="122">
        <v>7</v>
      </c>
      <c r="I96" s="122">
        <v>8</v>
      </c>
      <c r="J96" s="113"/>
      <c r="K96" s="113"/>
    </row>
    <row r="97" spans="1:11" hidden="1">
      <c r="A97" s="124"/>
      <c r="B97" s="756" t="s">
        <v>488</v>
      </c>
      <c r="C97" s="757"/>
      <c r="D97" s="125"/>
      <c r="E97" s="125"/>
      <c r="F97" s="125"/>
      <c r="G97" s="169"/>
      <c r="H97" s="169"/>
      <c r="I97" s="169"/>
      <c r="J97" s="113"/>
      <c r="K97" s="113"/>
    </row>
    <row r="98" spans="1:11" hidden="1">
      <c r="A98" s="124"/>
      <c r="B98" s="756" t="s">
        <v>314</v>
      </c>
      <c r="C98" s="757"/>
      <c r="D98" s="125"/>
      <c r="E98" s="125"/>
      <c r="F98" s="125"/>
      <c r="G98" s="169"/>
      <c r="H98" s="169"/>
      <c r="I98" s="169"/>
      <c r="J98" s="113"/>
      <c r="K98" s="113"/>
    </row>
    <row r="99" spans="1:11" hidden="1">
      <c r="A99" s="124"/>
      <c r="B99" s="319" t="s">
        <v>315</v>
      </c>
      <c r="C99" s="320"/>
      <c r="D99" s="125"/>
      <c r="E99" s="125"/>
      <c r="F99" s="125"/>
      <c r="G99" s="169"/>
      <c r="H99" s="169"/>
      <c r="I99" s="169"/>
      <c r="J99" s="113"/>
      <c r="K99" s="113"/>
    </row>
    <row r="100" spans="1:11" hidden="1">
      <c r="A100" s="124"/>
      <c r="B100" s="319" t="s">
        <v>316</v>
      </c>
      <c r="C100" s="320"/>
      <c r="D100" s="125"/>
      <c r="E100" s="125"/>
      <c r="F100" s="125"/>
      <c r="G100" s="169"/>
      <c r="H100" s="169"/>
      <c r="I100" s="169"/>
      <c r="J100" s="113"/>
      <c r="K100" s="113"/>
    </row>
    <row r="101" spans="1:11" hidden="1">
      <c r="A101" s="124"/>
      <c r="B101" s="725"/>
      <c r="C101" s="726"/>
      <c r="D101" s="125"/>
      <c r="E101" s="125"/>
      <c r="F101" s="125"/>
      <c r="G101" s="169"/>
      <c r="H101" s="169"/>
      <c r="I101" s="169"/>
      <c r="J101" s="113"/>
      <c r="K101" s="113"/>
    </row>
    <row r="102" spans="1:11" hidden="1">
      <c r="A102" s="124"/>
      <c r="B102" s="725"/>
      <c r="C102" s="726"/>
      <c r="D102" s="125"/>
      <c r="E102" s="125"/>
      <c r="F102" s="125"/>
      <c r="G102" s="169"/>
      <c r="H102" s="169"/>
      <c r="I102" s="169"/>
      <c r="J102" s="113"/>
      <c r="K102" s="113"/>
    </row>
    <row r="103" spans="1:11" hidden="1">
      <c r="A103" s="166"/>
      <c r="B103" s="727" t="s">
        <v>216</v>
      </c>
      <c r="C103" s="728"/>
      <c r="D103" s="167"/>
      <c r="E103" s="167"/>
      <c r="F103" s="167"/>
      <c r="G103" s="170">
        <f>ROUND(SUM(G97:G102),0)</f>
        <v>0</v>
      </c>
      <c r="H103" s="170">
        <f t="shared" ref="H103:I103" si="8">ROUND(SUM(H97:H102),0)</f>
        <v>0</v>
      </c>
      <c r="I103" s="170">
        <f t="shared" si="8"/>
        <v>0</v>
      </c>
      <c r="J103" s="171"/>
      <c r="K103" s="171"/>
    </row>
    <row r="104" spans="1:11" hidden="1">
      <c r="A104" s="18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1:11" hidden="1">
      <c r="A105" s="67" t="s">
        <v>248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1:11" hidden="1">
      <c r="A106" s="18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48.75" hidden="1">
      <c r="A107" s="126" t="s">
        <v>218</v>
      </c>
      <c r="B107" s="733" t="s">
        <v>237</v>
      </c>
      <c r="C107" s="734"/>
      <c r="D107" s="120" t="s">
        <v>249</v>
      </c>
      <c r="E107" s="120" t="s">
        <v>250</v>
      </c>
      <c r="F107" s="120" t="s">
        <v>484</v>
      </c>
      <c r="G107" s="120" t="s">
        <v>303</v>
      </c>
      <c r="H107" s="120" t="s">
        <v>304</v>
      </c>
      <c r="I107" s="113"/>
      <c r="J107" s="113"/>
      <c r="K107" s="113"/>
    </row>
    <row r="108" spans="1:11" hidden="1">
      <c r="A108" s="122">
        <v>1</v>
      </c>
      <c r="B108" s="725">
        <v>2</v>
      </c>
      <c r="C108" s="726"/>
      <c r="D108" s="122">
        <v>3</v>
      </c>
      <c r="E108" s="122">
        <v>4</v>
      </c>
      <c r="F108" s="122">
        <v>5</v>
      </c>
      <c r="G108" s="122">
        <v>6</v>
      </c>
      <c r="H108" s="122">
        <v>7</v>
      </c>
      <c r="I108" s="113"/>
      <c r="J108" s="113"/>
      <c r="K108" s="113"/>
    </row>
    <row r="109" spans="1:11" hidden="1">
      <c r="A109" s="124">
        <v>1</v>
      </c>
      <c r="B109" s="725"/>
      <c r="C109" s="726"/>
      <c r="D109" s="125"/>
      <c r="E109" s="125"/>
      <c r="F109" s="125">
        <f>D109*E109</f>
        <v>0</v>
      </c>
      <c r="G109" s="125"/>
      <c r="H109" s="125"/>
      <c r="I109" s="113"/>
      <c r="J109" s="113"/>
      <c r="K109" s="113"/>
    </row>
    <row r="110" spans="1:11" hidden="1">
      <c r="A110" s="124"/>
      <c r="B110" s="725"/>
      <c r="C110" s="726"/>
      <c r="D110" s="125"/>
      <c r="E110" s="125"/>
      <c r="F110" s="125">
        <f t="shared" ref="F110:F114" si="9">D110*E110</f>
        <v>0</v>
      </c>
      <c r="G110" s="125"/>
      <c r="H110" s="125"/>
      <c r="I110" s="113"/>
      <c r="J110" s="113"/>
      <c r="K110" s="113"/>
    </row>
    <row r="111" spans="1:11" hidden="1">
      <c r="A111" s="124"/>
      <c r="B111" s="725"/>
      <c r="C111" s="726"/>
      <c r="D111" s="125"/>
      <c r="E111" s="125"/>
      <c r="F111" s="125">
        <f t="shared" si="9"/>
        <v>0</v>
      </c>
      <c r="G111" s="125"/>
      <c r="H111" s="125"/>
      <c r="I111" s="113"/>
      <c r="J111" s="113"/>
      <c r="K111" s="113"/>
    </row>
    <row r="112" spans="1:11" hidden="1">
      <c r="A112" s="124"/>
      <c r="B112" s="725"/>
      <c r="C112" s="726"/>
      <c r="D112" s="125"/>
      <c r="E112" s="125"/>
      <c r="F112" s="125">
        <f t="shared" si="9"/>
        <v>0</v>
      </c>
      <c r="G112" s="125"/>
      <c r="H112" s="125"/>
      <c r="I112" s="113"/>
      <c r="J112" s="113"/>
      <c r="K112" s="113"/>
    </row>
    <row r="113" spans="1:11" hidden="1">
      <c r="A113" s="124"/>
      <c r="B113" s="725"/>
      <c r="C113" s="726"/>
      <c r="D113" s="125"/>
      <c r="E113" s="125"/>
      <c r="F113" s="125">
        <f t="shared" si="9"/>
        <v>0</v>
      </c>
      <c r="G113" s="125"/>
      <c r="H113" s="125"/>
      <c r="I113" s="113"/>
      <c r="J113" s="113"/>
      <c r="K113" s="113"/>
    </row>
    <row r="114" spans="1:11" hidden="1">
      <c r="A114" s="124"/>
      <c r="B114" s="725"/>
      <c r="C114" s="726"/>
      <c r="D114" s="125"/>
      <c r="E114" s="125"/>
      <c r="F114" s="125">
        <f t="shared" si="9"/>
        <v>0</v>
      </c>
      <c r="G114" s="125"/>
      <c r="H114" s="125"/>
      <c r="I114" s="113"/>
      <c r="J114" s="113"/>
      <c r="K114" s="113"/>
    </row>
    <row r="115" spans="1:11" hidden="1">
      <c r="A115" s="166"/>
      <c r="B115" s="727" t="s">
        <v>216</v>
      </c>
      <c r="C115" s="728"/>
      <c r="D115" s="167"/>
      <c r="E115" s="167"/>
      <c r="F115" s="167">
        <f>SUM(F109:F114)</f>
        <v>0</v>
      </c>
      <c r="G115" s="167">
        <f t="shared" ref="G115:H115" si="10">SUM(G109:G114)</f>
        <v>0</v>
      </c>
      <c r="H115" s="167">
        <f t="shared" si="10"/>
        <v>0</v>
      </c>
      <c r="I115" s="171"/>
      <c r="J115" s="171"/>
      <c r="K115" s="171"/>
    </row>
    <row r="116" spans="1:11" hidden="1">
      <c r="A116" s="18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hidden="1">
      <c r="A117" s="67" t="s">
        <v>251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idden="1">
      <c r="A118" s="18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1:11" ht="48.75" hidden="1">
      <c r="A119" s="126" t="s">
        <v>218</v>
      </c>
      <c r="B119" s="733" t="s">
        <v>0</v>
      </c>
      <c r="C119" s="734"/>
      <c r="D119" s="120" t="s">
        <v>252</v>
      </c>
      <c r="E119" s="120" t="s">
        <v>253</v>
      </c>
      <c r="F119" s="120" t="s">
        <v>254</v>
      </c>
      <c r="G119" s="120" t="s">
        <v>484</v>
      </c>
      <c r="H119" s="120" t="s">
        <v>303</v>
      </c>
      <c r="I119" s="120" t="s">
        <v>304</v>
      </c>
      <c r="J119" s="113"/>
      <c r="K119" s="113"/>
    </row>
    <row r="120" spans="1:11" hidden="1">
      <c r="A120" s="122">
        <v>1</v>
      </c>
      <c r="B120" s="725">
        <v>2</v>
      </c>
      <c r="C120" s="726"/>
      <c r="D120" s="122">
        <v>3</v>
      </c>
      <c r="E120" s="122">
        <v>4</v>
      </c>
      <c r="F120" s="122">
        <v>5</v>
      </c>
      <c r="G120" s="122">
        <v>6</v>
      </c>
      <c r="H120" s="122">
        <v>7</v>
      </c>
      <c r="I120" s="122">
        <v>8</v>
      </c>
      <c r="J120" s="113"/>
      <c r="K120" s="113"/>
    </row>
    <row r="121" spans="1:11" hidden="1">
      <c r="A121" s="124">
        <v>1</v>
      </c>
      <c r="B121" s="750"/>
      <c r="C121" s="751"/>
      <c r="D121" s="125"/>
      <c r="E121" s="125"/>
      <c r="F121" s="125"/>
      <c r="G121" s="343"/>
      <c r="H121" s="343"/>
      <c r="I121" s="343"/>
      <c r="J121" s="113"/>
      <c r="K121" s="113"/>
    </row>
    <row r="122" spans="1:11" hidden="1">
      <c r="A122" s="124"/>
      <c r="B122" s="748"/>
      <c r="C122" s="749"/>
      <c r="D122" s="125"/>
      <c r="E122" s="125"/>
      <c r="F122" s="125"/>
      <c r="G122" s="343"/>
      <c r="H122" s="343"/>
      <c r="I122" s="343"/>
      <c r="J122" s="113"/>
      <c r="K122" s="113"/>
    </row>
    <row r="123" spans="1:11" hidden="1">
      <c r="A123" s="124">
        <v>2</v>
      </c>
      <c r="B123" s="750"/>
      <c r="C123" s="751"/>
      <c r="D123" s="125"/>
      <c r="E123" s="346"/>
      <c r="F123" s="125"/>
      <c r="G123" s="343"/>
      <c r="H123" s="343"/>
      <c r="I123" s="343"/>
      <c r="J123" s="113"/>
      <c r="K123" s="113"/>
    </row>
    <row r="124" spans="1:11" hidden="1">
      <c r="A124" s="124"/>
      <c r="B124" s="748"/>
      <c r="C124" s="772"/>
      <c r="D124" s="773"/>
      <c r="E124" s="773"/>
      <c r="F124" s="774"/>
      <c r="G124" s="343"/>
      <c r="H124" s="343"/>
      <c r="I124" s="343"/>
      <c r="J124" s="113"/>
      <c r="K124" s="113"/>
    </row>
    <row r="125" spans="1:11" hidden="1">
      <c r="A125" s="124">
        <v>3</v>
      </c>
      <c r="B125" s="750"/>
      <c r="C125" s="751"/>
      <c r="D125" s="125"/>
      <c r="E125" s="125"/>
      <c r="F125" s="125"/>
      <c r="G125" s="343"/>
      <c r="H125" s="343"/>
      <c r="I125" s="343"/>
      <c r="J125" s="113"/>
      <c r="K125" s="113"/>
    </row>
    <row r="126" spans="1:11" hidden="1">
      <c r="A126" s="124"/>
      <c r="B126" s="363"/>
      <c r="C126" s="364"/>
      <c r="D126" s="125"/>
      <c r="E126" s="125"/>
      <c r="F126" s="125"/>
      <c r="G126" s="343"/>
      <c r="H126" s="343"/>
      <c r="I126" s="343"/>
      <c r="J126" s="113"/>
      <c r="K126" s="113"/>
    </row>
    <row r="127" spans="1:11" hidden="1">
      <c r="A127" s="124">
        <v>4</v>
      </c>
      <c r="B127" s="775"/>
      <c r="C127" s="751"/>
      <c r="D127" s="125"/>
      <c r="E127" s="125"/>
      <c r="F127" s="125"/>
      <c r="G127" s="343"/>
      <c r="H127" s="343"/>
      <c r="I127" s="343"/>
      <c r="J127" s="113"/>
      <c r="K127" s="113"/>
    </row>
    <row r="128" spans="1:11" hidden="1">
      <c r="A128" s="124"/>
      <c r="B128" s="365"/>
      <c r="C128" s="366"/>
      <c r="D128" s="125"/>
      <c r="E128" s="125"/>
      <c r="F128" s="125"/>
      <c r="G128" s="343"/>
      <c r="H128" s="343"/>
      <c r="I128" s="343"/>
      <c r="J128" s="113"/>
      <c r="K128" s="113"/>
    </row>
    <row r="129" spans="1:11" hidden="1">
      <c r="A129" s="166"/>
      <c r="B129" s="727"/>
      <c r="C129" s="728"/>
      <c r="D129" s="167"/>
      <c r="E129" s="167"/>
      <c r="F129" s="167"/>
      <c r="G129" s="367"/>
      <c r="H129" s="367"/>
      <c r="I129" s="367"/>
      <c r="J129" s="171"/>
      <c r="K129" s="171"/>
    </row>
    <row r="130" spans="1:11" hidden="1">
      <c r="A130" s="18"/>
      <c r="B130" s="113"/>
      <c r="C130" s="113"/>
      <c r="D130" s="113"/>
      <c r="E130" s="113"/>
      <c r="F130" s="113"/>
      <c r="G130" s="368"/>
      <c r="H130" s="368"/>
      <c r="I130" s="368"/>
      <c r="J130" s="113"/>
      <c r="K130" s="113"/>
    </row>
    <row r="131" spans="1:11" hidden="1">
      <c r="A131" s="67" t="s">
        <v>255</v>
      </c>
      <c r="B131" s="117"/>
      <c r="C131" s="117"/>
      <c r="D131" s="117"/>
      <c r="E131" s="117"/>
      <c r="F131" s="117"/>
      <c r="G131" s="362"/>
      <c r="H131" s="362"/>
      <c r="I131" s="362"/>
      <c r="J131" s="117"/>
      <c r="K131" s="117"/>
    </row>
    <row r="132" spans="1:11" hidden="1">
      <c r="A132" s="18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1:11" ht="60.75" hidden="1">
      <c r="A133" s="126" t="s">
        <v>218</v>
      </c>
      <c r="B133" s="733" t="s">
        <v>0</v>
      </c>
      <c r="C133" s="734"/>
      <c r="D133" s="120" t="s">
        <v>256</v>
      </c>
      <c r="E133" s="120" t="s">
        <v>257</v>
      </c>
      <c r="F133" s="120" t="s">
        <v>258</v>
      </c>
      <c r="G133" s="120" t="s">
        <v>258</v>
      </c>
      <c r="H133" s="120" t="s">
        <v>258</v>
      </c>
      <c r="I133" s="113"/>
      <c r="J133" s="113"/>
      <c r="K133" s="113"/>
    </row>
    <row r="134" spans="1:11" hidden="1">
      <c r="A134" s="122">
        <v>1</v>
      </c>
      <c r="B134" s="725">
        <v>2</v>
      </c>
      <c r="C134" s="726"/>
      <c r="D134" s="122">
        <v>3</v>
      </c>
      <c r="E134" s="122">
        <v>4</v>
      </c>
      <c r="F134" s="122">
        <v>5</v>
      </c>
      <c r="G134" s="122">
        <v>6</v>
      </c>
      <c r="H134" s="122">
        <v>7</v>
      </c>
      <c r="I134" s="113"/>
      <c r="J134" s="113"/>
      <c r="K134" s="113"/>
    </row>
    <row r="135" spans="1:11" hidden="1">
      <c r="A135" s="124"/>
      <c r="B135" s="725"/>
      <c r="C135" s="726"/>
      <c r="D135" s="125"/>
      <c r="E135" s="125"/>
      <c r="F135" s="125"/>
      <c r="G135" s="125"/>
      <c r="H135" s="125"/>
      <c r="I135" s="113"/>
      <c r="J135" s="113"/>
      <c r="K135" s="113"/>
    </row>
    <row r="136" spans="1:11" hidden="1">
      <c r="A136" s="124"/>
      <c r="B136" s="725"/>
      <c r="C136" s="726"/>
      <c r="D136" s="125"/>
      <c r="E136" s="125"/>
      <c r="F136" s="125"/>
      <c r="G136" s="125"/>
      <c r="H136" s="125"/>
      <c r="I136" s="113"/>
      <c r="J136" s="113"/>
      <c r="K136" s="113"/>
    </row>
    <row r="137" spans="1:11" hidden="1">
      <c r="A137" s="124"/>
      <c r="B137" s="725"/>
      <c r="C137" s="726"/>
      <c r="D137" s="125"/>
      <c r="E137" s="125"/>
      <c r="F137" s="125"/>
      <c r="G137" s="125"/>
      <c r="H137" s="125"/>
      <c r="I137" s="113"/>
      <c r="J137" s="113"/>
      <c r="K137" s="113"/>
    </row>
    <row r="138" spans="1:11" hidden="1">
      <c r="A138" s="124"/>
      <c r="B138" s="725"/>
      <c r="C138" s="726"/>
      <c r="D138" s="125"/>
      <c r="E138" s="125"/>
      <c r="F138" s="125"/>
      <c r="G138" s="125"/>
      <c r="H138" s="125"/>
      <c r="I138" s="113"/>
      <c r="J138" s="113"/>
      <c r="K138" s="113"/>
    </row>
    <row r="139" spans="1:11" hidden="1">
      <c r="A139" s="124"/>
      <c r="B139" s="725"/>
      <c r="C139" s="726"/>
      <c r="D139" s="125"/>
      <c r="E139" s="125"/>
      <c r="F139" s="125"/>
      <c r="G139" s="125"/>
      <c r="H139" s="125"/>
      <c r="I139" s="113"/>
      <c r="J139" s="113"/>
      <c r="K139" s="113"/>
    </row>
    <row r="140" spans="1:11" hidden="1">
      <c r="A140" s="124"/>
      <c r="B140" s="725"/>
      <c r="C140" s="726"/>
      <c r="D140" s="125"/>
      <c r="E140" s="125"/>
      <c r="F140" s="125"/>
      <c r="G140" s="125"/>
      <c r="H140" s="125"/>
      <c r="I140" s="113"/>
      <c r="J140" s="113"/>
      <c r="K140" s="113"/>
    </row>
    <row r="141" spans="1:11" hidden="1">
      <c r="A141" s="166"/>
      <c r="B141" s="727" t="s">
        <v>216</v>
      </c>
      <c r="C141" s="728"/>
      <c r="D141" s="167"/>
      <c r="E141" s="167"/>
      <c r="F141" s="167">
        <f>SUM(F135:F140)</f>
        <v>0</v>
      </c>
      <c r="G141" s="167">
        <f t="shared" ref="G141:H141" si="11">SUM(G135:G140)</f>
        <v>0</v>
      </c>
      <c r="H141" s="167">
        <f t="shared" si="11"/>
        <v>0</v>
      </c>
      <c r="I141" s="171"/>
      <c r="J141" s="171"/>
      <c r="K141" s="171"/>
    </row>
    <row r="142" spans="1:11" hidden="1">
      <c r="A142" s="18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1:11" hidden="1">
      <c r="A143" s="67" t="s">
        <v>259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1:11" hidden="1">
      <c r="A144" s="18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1:11" ht="36.75" hidden="1">
      <c r="A145" s="126" t="s">
        <v>218</v>
      </c>
      <c r="B145" s="733" t="s">
        <v>0</v>
      </c>
      <c r="C145" s="734"/>
      <c r="D145" s="120" t="s">
        <v>260</v>
      </c>
      <c r="E145" s="120" t="s">
        <v>261</v>
      </c>
      <c r="F145" s="120" t="s">
        <v>484</v>
      </c>
      <c r="G145" s="120" t="s">
        <v>303</v>
      </c>
      <c r="H145" s="120" t="s">
        <v>304</v>
      </c>
      <c r="I145" s="113"/>
      <c r="J145" s="113"/>
      <c r="K145" s="113"/>
    </row>
    <row r="146" spans="1:11" hidden="1">
      <c r="A146" s="122">
        <v>1</v>
      </c>
      <c r="B146" s="725">
        <v>2</v>
      </c>
      <c r="C146" s="726"/>
      <c r="D146" s="122">
        <v>3</v>
      </c>
      <c r="E146" s="122">
        <v>4</v>
      </c>
      <c r="F146" s="122">
        <v>5</v>
      </c>
      <c r="G146" s="122">
        <v>6</v>
      </c>
      <c r="H146" s="122">
        <v>7</v>
      </c>
      <c r="I146" s="113"/>
      <c r="J146" s="113"/>
      <c r="K146" s="113"/>
    </row>
    <row r="147" spans="1:11" hidden="1">
      <c r="A147" s="369">
        <v>1</v>
      </c>
      <c r="B147" s="744"/>
      <c r="C147" s="745"/>
      <c r="D147" s="125"/>
      <c r="E147" s="125"/>
      <c r="F147" s="125"/>
      <c r="G147" s="125"/>
      <c r="H147" s="125"/>
      <c r="I147" s="113"/>
      <c r="J147" s="113"/>
      <c r="K147" s="113"/>
    </row>
    <row r="148" spans="1:11" hidden="1">
      <c r="A148" s="124"/>
      <c r="B148" s="739"/>
      <c r="C148" s="740"/>
      <c r="D148" s="125"/>
      <c r="E148" s="125"/>
      <c r="F148" s="125"/>
      <c r="G148" s="125"/>
      <c r="H148" s="125"/>
      <c r="I148" s="113"/>
      <c r="J148" s="113"/>
      <c r="K148" s="113"/>
    </row>
    <row r="149" spans="1:11" hidden="1">
      <c r="A149" s="369">
        <v>2</v>
      </c>
      <c r="B149" s="744"/>
      <c r="C149" s="741"/>
      <c r="D149" s="125"/>
      <c r="E149" s="125"/>
      <c r="F149" s="125"/>
      <c r="G149" s="125"/>
      <c r="H149" s="125"/>
      <c r="I149" s="113"/>
      <c r="J149" s="113"/>
      <c r="K149" s="113"/>
    </row>
    <row r="150" spans="1:11" hidden="1">
      <c r="A150" s="124"/>
      <c r="B150" s="739"/>
      <c r="C150" s="740"/>
      <c r="D150" s="125"/>
      <c r="E150" s="125"/>
      <c r="F150" s="125"/>
      <c r="G150" s="125"/>
      <c r="H150" s="125"/>
      <c r="I150" s="113"/>
      <c r="J150" s="113"/>
      <c r="K150" s="113"/>
    </row>
    <row r="151" spans="1:11" hidden="1">
      <c r="A151" s="369">
        <v>3</v>
      </c>
      <c r="B151" s="744"/>
      <c r="C151" s="746"/>
      <c r="D151" s="125"/>
      <c r="E151" s="125"/>
      <c r="F151" s="125"/>
      <c r="G151" s="125"/>
      <c r="H151" s="125"/>
      <c r="I151" s="113"/>
      <c r="J151" s="113"/>
      <c r="K151" s="113"/>
    </row>
    <row r="152" spans="1:11" hidden="1">
      <c r="A152" s="124"/>
      <c r="B152" s="350"/>
      <c r="C152" s="351"/>
      <c r="D152" s="125"/>
      <c r="E152" s="125"/>
      <c r="F152" s="125"/>
      <c r="G152" s="125"/>
      <c r="H152" s="125"/>
      <c r="I152" s="113"/>
      <c r="J152" s="113"/>
      <c r="K152" s="113"/>
    </row>
    <row r="153" spans="1:11" hidden="1">
      <c r="A153" s="124"/>
      <c r="B153" s="350"/>
      <c r="C153" s="351"/>
      <c r="D153" s="125"/>
      <c r="E153" s="125"/>
      <c r="F153" s="125"/>
      <c r="G153" s="125"/>
      <c r="H153" s="125"/>
      <c r="I153" s="113"/>
      <c r="J153" s="113"/>
      <c r="K153" s="113"/>
    </row>
    <row r="154" spans="1:11" hidden="1">
      <c r="A154" s="369">
        <v>4</v>
      </c>
      <c r="B154" s="744"/>
      <c r="C154" s="746"/>
      <c r="D154" s="125"/>
      <c r="E154" s="125"/>
      <c r="F154" s="125"/>
      <c r="G154" s="125"/>
      <c r="H154" s="125"/>
      <c r="I154" s="113"/>
      <c r="J154" s="113"/>
      <c r="K154" s="113"/>
    </row>
    <row r="155" spans="1:11" hidden="1">
      <c r="A155" s="124"/>
      <c r="B155" s="350"/>
      <c r="C155" s="351"/>
      <c r="D155" s="125"/>
      <c r="E155" s="125"/>
      <c r="F155" s="125"/>
      <c r="G155" s="125"/>
      <c r="H155" s="125"/>
      <c r="I155" s="113"/>
      <c r="J155" s="113"/>
      <c r="K155" s="113"/>
    </row>
    <row r="156" spans="1:11" hidden="1">
      <c r="A156" s="369">
        <v>5</v>
      </c>
      <c r="B156" s="744"/>
      <c r="C156" s="746"/>
      <c r="D156" s="125"/>
      <c r="E156" s="125"/>
      <c r="F156" s="125"/>
      <c r="G156" s="125"/>
      <c r="H156" s="125"/>
      <c r="I156" s="113"/>
      <c r="J156" s="113"/>
      <c r="K156" s="113"/>
    </row>
    <row r="157" spans="1:11" hidden="1">
      <c r="A157" s="124"/>
      <c r="B157" s="350"/>
      <c r="C157" s="351"/>
      <c r="D157" s="125"/>
      <c r="E157" s="125"/>
      <c r="F157" s="125"/>
      <c r="G157" s="125"/>
      <c r="H157" s="125"/>
      <c r="I157" s="113"/>
      <c r="J157" s="113"/>
      <c r="K157" s="113"/>
    </row>
    <row r="158" spans="1:11" hidden="1">
      <c r="A158" s="369">
        <v>6</v>
      </c>
      <c r="B158" s="744"/>
      <c r="C158" s="746"/>
      <c r="D158" s="125"/>
      <c r="E158" s="125"/>
      <c r="F158" s="125"/>
      <c r="G158" s="125"/>
      <c r="H158" s="125"/>
      <c r="I158" s="113"/>
      <c r="J158" s="113"/>
      <c r="K158" s="113"/>
    </row>
    <row r="159" spans="1:11" hidden="1">
      <c r="A159" s="124"/>
      <c r="B159" s="350"/>
      <c r="C159" s="351"/>
      <c r="D159" s="125"/>
      <c r="E159" s="125"/>
      <c r="F159" s="125"/>
      <c r="G159" s="125"/>
      <c r="H159" s="125"/>
      <c r="I159" s="113"/>
      <c r="J159" s="113"/>
      <c r="K159" s="113"/>
    </row>
    <row r="160" spans="1:11" hidden="1">
      <c r="A160" s="124"/>
      <c r="B160" s="350"/>
      <c r="C160" s="351"/>
      <c r="D160" s="125"/>
      <c r="E160" s="125"/>
      <c r="F160" s="125"/>
      <c r="G160" s="125"/>
      <c r="H160" s="125"/>
      <c r="I160" s="113"/>
      <c r="J160" s="113"/>
      <c r="K160" s="113"/>
    </row>
    <row r="161" spans="1:11" hidden="1">
      <c r="A161" s="369">
        <v>7</v>
      </c>
      <c r="B161" s="744"/>
      <c r="C161" s="745"/>
      <c r="D161" s="125"/>
      <c r="E161" s="125"/>
      <c r="F161" s="125"/>
      <c r="G161" s="125"/>
      <c r="H161" s="125"/>
      <c r="I161" s="113"/>
      <c r="J161" s="113"/>
      <c r="K161" s="113"/>
    </row>
    <row r="162" spans="1:11" hidden="1">
      <c r="A162" s="124"/>
      <c r="B162" s="739"/>
      <c r="C162" s="740"/>
      <c r="D162" s="125"/>
      <c r="E162" s="125"/>
      <c r="F162" s="125"/>
      <c r="G162" s="125"/>
      <c r="H162" s="125"/>
      <c r="I162" s="113"/>
      <c r="J162" s="113"/>
      <c r="K162" s="113"/>
    </row>
    <row r="163" spans="1:11" hidden="1">
      <c r="A163" s="369">
        <v>8</v>
      </c>
      <c r="B163" s="744"/>
      <c r="C163" s="745"/>
      <c r="D163" s="125"/>
      <c r="E163" s="125"/>
      <c r="F163" s="125"/>
      <c r="G163" s="125"/>
      <c r="H163" s="125"/>
      <c r="I163" s="113"/>
      <c r="J163" s="113"/>
      <c r="K163" s="113"/>
    </row>
    <row r="164" spans="1:11" hidden="1">
      <c r="A164" s="124"/>
      <c r="B164" s="739"/>
      <c r="C164" s="740"/>
      <c r="D164" s="125"/>
      <c r="E164" s="125"/>
      <c r="F164" s="125"/>
      <c r="G164" s="125"/>
      <c r="H164" s="125"/>
      <c r="I164" s="113"/>
      <c r="J164" s="113"/>
      <c r="K164" s="113"/>
    </row>
    <row r="165" spans="1:11" hidden="1">
      <c r="A165" s="369">
        <v>9</v>
      </c>
      <c r="B165" s="744"/>
      <c r="C165" s="745"/>
      <c r="D165" s="125"/>
      <c r="E165" s="125"/>
      <c r="F165" s="125"/>
      <c r="G165" s="125"/>
      <c r="H165" s="125"/>
      <c r="I165" s="113"/>
      <c r="J165" s="113"/>
      <c r="K165" s="113"/>
    </row>
    <row r="166" spans="1:11" hidden="1">
      <c r="A166" s="124"/>
      <c r="B166" s="756"/>
      <c r="C166" s="757"/>
      <c r="D166" s="125"/>
      <c r="E166" s="125"/>
      <c r="F166" s="125"/>
      <c r="G166" s="125"/>
      <c r="H166" s="125"/>
      <c r="I166" s="113"/>
      <c r="J166" s="113"/>
      <c r="K166" s="113"/>
    </row>
    <row r="167" spans="1:11" hidden="1">
      <c r="A167" s="166"/>
      <c r="B167" s="727"/>
      <c r="C167" s="728"/>
      <c r="D167" s="167"/>
      <c r="E167" s="167"/>
      <c r="F167" s="167"/>
      <c r="G167" s="167"/>
      <c r="H167" s="167"/>
      <c r="I167" s="171"/>
      <c r="J167" s="171"/>
      <c r="K167" s="171"/>
    </row>
    <row r="168" spans="1:11" hidden="1">
      <c r="A168" s="18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1:11" hidden="1">
      <c r="A169" s="67" t="s">
        <v>262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idden="1">
      <c r="A170" s="18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1:11" ht="36.75" hidden="1">
      <c r="A171" s="126" t="s">
        <v>218</v>
      </c>
      <c r="B171" s="733" t="s">
        <v>237</v>
      </c>
      <c r="C171" s="734"/>
      <c r="D171" s="120" t="s">
        <v>260</v>
      </c>
      <c r="E171" s="120" t="s">
        <v>261</v>
      </c>
      <c r="F171" s="120" t="s">
        <v>484</v>
      </c>
      <c r="G171" s="120" t="s">
        <v>303</v>
      </c>
      <c r="H171" s="120" t="s">
        <v>304</v>
      </c>
      <c r="I171" s="113"/>
      <c r="J171" s="113"/>
      <c r="K171" s="113"/>
    </row>
    <row r="172" spans="1:11" hidden="1">
      <c r="A172" s="122">
        <v>1</v>
      </c>
      <c r="B172" s="725">
        <v>2</v>
      </c>
      <c r="C172" s="726"/>
      <c r="D172" s="122">
        <v>3</v>
      </c>
      <c r="E172" s="122">
        <v>4</v>
      </c>
      <c r="F172" s="122">
        <v>5</v>
      </c>
      <c r="G172" s="122">
        <v>6</v>
      </c>
      <c r="H172" s="122">
        <v>7</v>
      </c>
      <c r="I172" s="113"/>
      <c r="J172" s="113"/>
      <c r="K172" s="113"/>
    </row>
    <row r="173" spans="1:11" hidden="1">
      <c r="A173" s="370"/>
      <c r="B173" s="735"/>
      <c r="C173" s="736"/>
      <c r="D173" s="125"/>
      <c r="E173" s="125"/>
      <c r="F173" s="125"/>
      <c r="G173" s="125"/>
      <c r="H173" s="125"/>
      <c r="I173" s="113"/>
      <c r="J173" s="113"/>
      <c r="K173" s="113"/>
    </row>
    <row r="174" spans="1:11" hidden="1">
      <c r="A174" s="370"/>
      <c r="B174" s="735"/>
      <c r="C174" s="736"/>
      <c r="D174" s="125"/>
      <c r="E174" s="125"/>
      <c r="F174" s="125"/>
      <c r="G174" s="125"/>
      <c r="H174" s="125"/>
      <c r="I174" s="113"/>
      <c r="J174" s="113"/>
      <c r="K174" s="113"/>
    </row>
    <row r="175" spans="1:11" hidden="1">
      <c r="A175" s="371"/>
      <c r="B175" s="739"/>
      <c r="C175" s="740"/>
      <c r="D175" s="125"/>
      <c r="E175" s="125"/>
      <c r="F175" s="125"/>
      <c r="G175" s="125"/>
      <c r="H175" s="125"/>
      <c r="I175" s="113"/>
      <c r="J175" s="113"/>
      <c r="K175" s="113"/>
    </row>
    <row r="176" spans="1:11" hidden="1">
      <c r="A176" s="370"/>
      <c r="B176" s="735"/>
      <c r="C176" s="741"/>
      <c r="D176" s="125"/>
      <c r="E176" s="125"/>
      <c r="F176" s="125"/>
      <c r="G176" s="125"/>
      <c r="H176" s="125"/>
      <c r="I176" s="113"/>
      <c r="J176" s="113"/>
      <c r="K176" s="113"/>
    </row>
    <row r="177" spans="1:11" hidden="1">
      <c r="A177" s="371"/>
      <c r="B177" s="350"/>
      <c r="C177" s="351"/>
      <c r="D177" s="125"/>
      <c r="E177" s="125"/>
      <c r="F177" s="125"/>
      <c r="G177" s="125"/>
      <c r="H177" s="125"/>
      <c r="I177" s="113"/>
      <c r="J177" s="113"/>
      <c r="K177" s="113"/>
    </row>
    <row r="178" spans="1:11" hidden="1">
      <c r="A178" s="371"/>
      <c r="B178" s="350"/>
      <c r="C178" s="351"/>
      <c r="D178" s="125"/>
      <c r="E178" s="125"/>
      <c r="F178" s="125"/>
      <c r="G178" s="125"/>
      <c r="H178" s="125"/>
      <c r="I178" s="113"/>
      <c r="J178" s="113"/>
      <c r="K178" s="113"/>
    </row>
    <row r="179" spans="1:11" hidden="1">
      <c r="A179" s="371"/>
      <c r="B179" s="350"/>
      <c r="C179" s="351"/>
      <c r="D179" s="125"/>
      <c r="E179" s="125"/>
      <c r="F179" s="125"/>
      <c r="G179" s="125"/>
      <c r="H179" s="125"/>
      <c r="I179" s="113"/>
      <c r="J179" s="113"/>
      <c r="K179" s="113"/>
    </row>
    <row r="180" spans="1:11" hidden="1">
      <c r="A180" s="371"/>
      <c r="B180" s="350"/>
      <c r="C180" s="351"/>
      <c r="D180" s="125"/>
      <c r="E180" s="125"/>
      <c r="F180" s="125"/>
      <c r="G180" s="125"/>
      <c r="H180" s="125"/>
      <c r="I180" s="113"/>
      <c r="J180" s="113"/>
      <c r="K180" s="113"/>
    </row>
    <row r="181" spans="1:11" hidden="1">
      <c r="A181" s="370"/>
      <c r="B181" s="744"/>
      <c r="C181" s="746"/>
      <c r="D181" s="125"/>
      <c r="E181" s="125"/>
      <c r="F181" s="125"/>
      <c r="G181" s="125"/>
      <c r="H181" s="125"/>
      <c r="I181" s="113"/>
      <c r="J181" s="113"/>
      <c r="K181" s="113"/>
    </row>
    <row r="182" spans="1:11" hidden="1">
      <c r="A182" s="370"/>
      <c r="B182" s="372"/>
      <c r="C182" s="351"/>
      <c r="D182" s="125"/>
      <c r="E182" s="125"/>
      <c r="F182" s="125"/>
      <c r="G182" s="125"/>
      <c r="H182" s="125"/>
      <c r="I182" s="113"/>
      <c r="J182" s="113"/>
      <c r="K182" s="113"/>
    </row>
    <row r="183" spans="1:11" hidden="1">
      <c r="A183" s="371"/>
      <c r="B183" s="350"/>
      <c r="C183" s="351"/>
      <c r="D183" s="125"/>
      <c r="E183" s="125"/>
      <c r="F183" s="125"/>
      <c r="G183" s="125"/>
      <c r="H183" s="125"/>
      <c r="I183" s="113"/>
      <c r="J183" s="113"/>
      <c r="K183" s="113"/>
    </row>
    <row r="184" spans="1:11" hidden="1">
      <c r="A184" s="370"/>
      <c r="B184" s="372"/>
      <c r="C184" s="351"/>
      <c r="D184" s="125"/>
      <c r="E184" s="125"/>
      <c r="F184" s="125"/>
      <c r="G184" s="125"/>
      <c r="H184" s="125"/>
      <c r="I184" s="113"/>
      <c r="J184" s="113"/>
      <c r="K184" s="113"/>
    </row>
    <row r="185" spans="1:11" hidden="1">
      <c r="A185" s="370"/>
      <c r="B185" s="372"/>
      <c r="C185" s="351"/>
      <c r="D185" s="125"/>
      <c r="E185" s="125"/>
      <c r="F185" s="125"/>
      <c r="G185" s="125"/>
      <c r="H185" s="125"/>
      <c r="I185" s="113"/>
      <c r="J185" s="113"/>
      <c r="K185" s="113"/>
    </row>
    <row r="186" spans="1:11" hidden="1">
      <c r="A186" s="371"/>
      <c r="B186" s="350"/>
      <c r="C186" s="351"/>
      <c r="D186" s="125"/>
      <c r="E186" s="125"/>
      <c r="F186" s="125"/>
      <c r="G186" s="125"/>
      <c r="H186" s="125"/>
      <c r="I186" s="113"/>
      <c r="J186" s="113"/>
      <c r="K186" s="113"/>
    </row>
    <row r="187" spans="1:11" hidden="1">
      <c r="A187" s="124"/>
      <c r="B187" s="319"/>
      <c r="C187" s="318"/>
      <c r="D187" s="125"/>
      <c r="E187" s="125"/>
      <c r="F187" s="125">
        <f t="shared" ref="F187:F192" si="12">E187*D187</f>
        <v>0</v>
      </c>
      <c r="G187" s="125">
        <f t="shared" ref="G187:H192" si="13">F187</f>
        <v>0</v>
      </c>
      <c r="H187" s="125">
        <f t="shared" si="13"/>
        <v>0</v>
      </c>
      <c r="I187" s="113"/>
      <c r="J187" s="113"/>
      <c r="K187" s="113"/>
    </row>
    <row r="188" spans="1:11" hidden="1">
      <c r="A188" s="124"/>
      <c r="B188" s="317"/>
      <c r="C188" s="318"/>
      <c r="D188" s="125"/>
      <c r="E188" s="125"/>
      <c r="F188" s="125">
        <f t="shared" si="12"/>
        <v>0</v>
      </c>
      <c r="G188" s="125">
        <f t="shared" si="13"/>
        <v>0</v>
      </c>
      <c r="H188" s="125">
        <f t="shared" si="13"/>
        <v>0</v>
      </c>
      <c r="I188" s="113"/>
      <c r="J188" s="113"/>
      <c r="K188" s="113"/>
    </row>
    <row r="189" spans="1:11" hidden="1">
      <c r="A189" s="124"/>
      <c r="B189" s="317"/>
      <c r="C189" s="318"/>
      <c r="D189" s="125"/>
      <c r="E189" s="125"/>
      <c r="F189" s="125">
        <f t="shared" si="12"/>
        <v>0</v>
      </c>
      <c r="G189" s="125">
        <f t="shared" si="13"/>
        <v>0</v>
      </c>
      <c r="H189" s="125">
        <f t="shared" si="13"/>
        <v>0</v>
      </c>
      <c r="I189" s="113"/>
      <c r="J189" s="113"/>
      <c r="K189" s="113"/>
    </row>
    <row r="190" spans="1:11" hidden="1">
      <c r="A190" s="124"/>
      <c r="B190" s="725"/>
      <c r="C190" s="726"/>
      <c r="D190" s="125"/>
      <c r="E190" s="125"/>
      <c r="F190" s="125">
        <f t="shared" si="12"/>
        <v>0</v>
      </c>
      <c r="G190" s="125">
        <f t="shared" si="13"/>
        <v>0</v>
      </c>
      <c r="H190" s="125">
        <f t="shared" si="13"/>
        <v>0</v>
      </c>
      <c r="I190" s="113"/>
      <c r="J190" s="113"/>
      <c r="K190" s="113"/>
    </row>
    <row r="191" spans="1:11" hidden="1">
      <c r="A191" s="124"/>
      <c r="B191" s="725"/>
      <c r="C191" s="726"/>
      <c r="D191" s="125"/>
      <c r="E191" s="125"/>
      <c r="F191" s="125">
        <f t="shared" si="12"/>
        <v>0</v>
      </c>
      <c r="G191" s="125">
        <f t="shared" si="13"/>
        <v>0</v>
      </c>
      <c r="H191" s="125">
        <f t="shared" si="13"/>
        <v>0</v>
      </c>
      <c r="I191" s="113"/>
      <c r="J191" s="113"/>
      <c r="K191" s="113"/>
    </row>
    <row r="192" spans="1:11" hidden="1">
      <c r="A192" s="124"/>
      <c r="B192" s="725"/>
      <c r="C192" s="726"/>
      <c r="D192" s="125"/>
      <c r="E192" s="125"/>
      <c r="F192" s="125">
        <f t="shared" si="12"/>
        <v>0</v>
      </c>
      <c r="G192" s="125">
        <f t="shared" si="13"/>
        <v>0</v>
      </c>
      <c r="H192" s="125">
        <f t="shared" si="13"/>
        <v>0</v>
      </c>
      <c r="I192" s="113"/>
      <c r="J192" s="113"/>
      <c r="K192" s="113"/>
    </row>
    <row r="193" spans="1:11" hidden="1">
      <c r="A193" s="166"/>
      <c r="B193" s="727" t="s">
        <v>216</v>
      </c>
      <c r="C193" s="728"/>
      <c r="D193" s="167"/>
      <c r="E193" s="167"/>
      <c r="F193" s="167">
        <f>SUM(F173:F192)</f>
        <v>0</v>
      </c>
      <c r="G193" s="167">
        <f>SUM(G173:G192)</f>
        <v>0</v>
      </c>
      <c r="H193" s="167">
        <f>SUM(H173:H192)</f>
        <v>0</v>
      </c>
      <c r="I193" s="171"/>
      <c r="J193" s="171"/>
      <c r="K193" s="171"/>
    </row>
    <row r="194" spans="1:11" hidden="1">
      <c r="A194" s="18"/>
      <c r="B194" s="113"/>
      <c r="C194" s="113"/>
      <c r="D194" s="113"/>
      <c r="E194" s="373"/>
      <c r="F194" s="374"/>
      <c r="G194" s="374"/>
      <c r="H194" s="375"/>
      <c r="I194" s="113"/>
      <c r="J194" s="113"/>
      <c r="K194" s="113"/>
    </row>
    <row r="195" spans="1:11" hidden="1">
      <c r="A195" s="67" t="s">
        <v>263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1:11" hidden="1">
      <c r="A196" s="18"/>
      <c r="B196" s="113"/>
      <c r="C196" s="113"/>
      <c r="D196" s="113"/>
      <c r="E196" s="113"/>
      <c r="F196" s="113"/>
      <c r="G196" s="356"/>
      <c r="H196" s="113"/>
      <c r="I196" s="113"/>
      <c r="J196" s="113"/>
      <c r="K196" s="113"/>
    </row>
    <row r="197" spans="1:11" ht="36.75" hidden="1">
      <c r="A197" s="126" t="s">
        <v>218</v>
      </c>
      <c r="B197" s="733" t="s">
        <v>237</v>
      </c>
      <c r="C197" s="734"/>
      <c r="D197" s="120" t="s">
        <v>256</v>
      </c>
      <c r="E197" s="120" t="s">
        <v>261</v>
      </c>
      <c r="F197" s="120" t="s">
        <v>484</v>
      </c>
      <c r="G197" s="120"/>
      <c r="H197" s="120" t="s">
        <v>304</v>
      </c>
      <c r="I197" s="113"/>
      <c r="J197" s="113"/>
      <c r="K197" s="113"/>
    </row>
    <row r="198" spans="1:11" hidden="1">
      <c r="A198" s="122">
        <v>1</v>
      </c>
      <c r="B198" s="725">
        <v>2</v>
      </c>
      <c r="C198" s="726"/>
      <c r="D198" s="122">
        <v>3</v>
      </c>
      <c r="E198" s="122">
        <v>4</v>
      </c>
      <c r="F198" s="122">
        <v>5</v>
      </c>
      <c r="G198" s="122">
        <v>6</v>
      </c>
      <c r="H198" s="122">
        <v>7</v>
      </c>
      <c r="I198" s="113"/>
      <c r="J198" s="113"/>
      <c r="K198" s="113"/>
    </row>
    <row r="199" spans="1:11" hidden="1">
      <c r="A199" s="376"/>
      <c r="B199" s="735"/>
      <c r="C199" s="736"/>
      <c r="D199" s="125"/>
      <c r="E199" s="125"/>
      <c r="F199" s="125"/>
      <c r="G199" s="125"/>
      <c r="H199" s="125"/>
      <c r="I199" s="113"/>
      <c r="J199" s="113"/>
      <c r="K199" s="113"/>
    </row>
    <row r="200" spans="1:11" hidden="1">
      <c r="A200" s="376"/>
      <c r="B200" s="737"/>
      <c r="C200" s="738"/>
      <c r="D200" s="125"/>
      <c r="E200" s="125"/>
      <c r="F200" s="125"/>
      <c r="G200" s="125"/>
      <c r="H200" s="125"/>
      <c r="I200" s="113"/>
      <c r="J200" s="113"/>
      <c r="K200" s="113"/>
    </row>
    <row r="201" spans="1:11" hidden="1">
      <c r="A201" s="376"/>
      <c r="B201" s="354"/>
      <c r="C201" s="355"/>
      <c r="D201" s="125"/>
      <c r="E201" s="125"/>
      <c r="F201" s="125"/>
      <c r="G201" s="125"/>
      <c r="H201" s="125"/>
      <c r="I201" s="113"/>
      <c r="J201" s="113"/>
      <c r="K201" s="113"/>
    </row>
    <row r="202" spans="1:11" hidden="1">
      <c r="A202" s="377"/>
      <c r="B202" s="317"/>
      <c r="C202" s="318"/>
      <c r="D202" s="125"/>
      <c r="E202" s="125"/>
      <c r="F202" s="125"/>
      <c r="G202" s="125"/>
      <c r="H202" s="125"/>
      <c r="I202" s="113"/>
      <c r="J202" s="113"/>
      <c r="K202" s="113"/>
    </row>
    <row r="203" spans="1:11" hidden="1">
      <c r="A203" s="377"/>
      <c r="B203" s="317"/>
      <c r="C203" s="318"/>
      <c r="D203" s="125"/>
      <c r="E203" s="125"/>
      <c r="F203" s="125"/>
      <c r="G203" s="125"/>
      <c r="H203" s="125"/>
      <c r="I203" s="113"/>
      <c r="J203" s="113"/>
      <c r="K203" s="113"/>
    </row>
    <row r="204" spans="1:11" hidden="1">
      <c r="A204" s="130"/>
      <c r="B204" s="317"/>
      <c r="C204" s="318"/>
      <c r="D204" s="125"/>
      <c r="E204" s="125"/>
      <c r="F204" s="125"/>
      <c r="G204" s="125"/>
      <c r="H204" s="125"/>
      <c r="I204" s="113"/>
      <c r="J204" s="113"/>
      <c r="K204" s="113"/>
    </row>
    <row r="205" spans="1:11" hidden="1">
      <c r="A205" s="130"/>
      <c r="B205" s="317"/>
      <c r="C205" s="318"/>
      <c r="D205" s="125"/>
      <c r="E205" s="125"/>
      <c r="F205" s="125"/>
      <c r="G205" s="125"/>
      <c r="H205" s="125"/>
      <c r="I205" s="113"/>
      <c r="J205" s="113"/>
      <c r="K205" s="113"/>
    </row>
    <row r="206" spans="1:11" hidden="1">
      <c r="A206" s="130"/>
      <c r="B206" s="317"/>
      <c r="C206" s="318"/>
      <c r="D206" s="125"/>
      <c r="E206" s="125"/>
      <c r="F206" s="125"/>
      <c r="G206" s="125"/>
      <c r="H206" s="125"/>
      <c r="I206" s="113"/>
      <c r="J206" s="113"/>
      <c r="K206" s="113"/>
    </row>
    <row r="207" spans="1:11" hidden="1">
      <c r="A207" s="130"/>
      <c r="B207" s="317"/>
      <c r="C207" s="318"/>
      <c r="D207" s="125"/>
      <c r="E207" s="125"/>
      <c r="F207" s="125"/>
      <c r="G207" s="125"/>
      <c r="H207" s="125"/>
      <c r="I207" s="113"/>
      <c r="J207" s="113"/>
      <c r="K207" s="113"/>
    </row>
    <row r="208" spans="1:11" hidden="1">
      <c r="A208" s="130"/>
      <c r="B208" s="317"/>
      <c r="C208" s="318"/>
      <c r="D208" s="125"/>
      <c r="E208" s="125"/>
      <c r="F208" s="125"/>
      <c r="G208" s="125"/>
      <c r="H208" s="125"/>
      <c r="I208" s="113"/>
      <c r="J208" s="113"/>
      <c r="K208" s="113"/>
    </row>
    <row r="209" spans="1:11" hidden="1">
      <c r="A209" s="130"/>
      <c r="B209" s="317"/>
      <c r="C209" s="318"/>
      <c r="D209" s="125"/>
      <c r="E209" s="125"/>
      <c r="F209" s="125"/>
      <c r="G209" s="125"/>
      <c r="H209" s="125"/>
      <c r="I209" s="113"/>
      <c r="J209" s="113"/>
      <c r="K209" s="113"/>
    </row>
    <row r="210" spans="1:11" hidden="1">
      <c r="A210" s="130"/>
      <c r="B210" s="317"/>
      <c r="C210" s="318"/>
      <c r="D210" s="125"/>
      <c r="E210" s="125"/>
      <c r="F210" s="125"/>
      <c r="G210" s="125"/>
      <c r="H210" s="125"/>
      <c r="I210" s="113"/>
      <c r="J210" s="113"/>
      <c r="K210" s="113"/>
    </row>
    <row r="211" spans="1:11" hidden="1">
      <c r="A211" s="130"/>
      <c r="B211" s="317"/>
      <c r="C211" s="318"/>
      <c r="D211" s="125"/>
      <c r="E211" s="125"/>
      <c r="F211" s="125"/>
      <c r="G211" s="125"/>
      <c r="H211" s="125"/>
      <c r="I211" s="113"/>
      <c r="J211" s="113"/>
      <c r="K211" s="113"/>
    </row>
    <row r="212" spans="1:11" hidden="1">
      <c r="A212" s="130"/>
      <c r="B212" s="317"/>
      <c r="C212" s="318"/>
      <c r="D212" s="125"/>
      <c r="E212" s="125"/>
      <c r="F212" s="125"/>
      <c r="G212" s="125"/>
      <c r="H212" s="125"/>
      <c r="I212" s="113"/>
      <c r="J212" s="113"/>
      <c r="K212" s="113"/>
    </row>
    <row r="213" spans="1:11" hidden="1">
      <c r="A213" s="130"/>
      <c r="B213" s="317"/>
      <c r="C213" s="318"/>
      <c r="D213" s="125"/>
      <c r="E213" s="125"/>
      <c r="F213" s="125"/>
      <c r="G213" s="125"/>
      <c r="H213" s="125"/>
      <c r="I213" s="113"/>
      <c r="J213" s="113"/>
      <c r="K213" s="113"/>
    </row>
    <row r="214" spans="1:11" hidden="1">
      <c r="A214" s="130"/>
      <c r="B214" s="317"/>
      <c r="C214" s="318"/>
      <c r="D214" s="125"/>
      <c r="E214" s="125"/>
      <c r="F214" s="125"/>
      <c r="G214" s="125"/>
      <c r="H214" s="125"/>
      <c r="I214" s="113"/>
      <c r="J214" s="113"/>
      <c r="K214" s="113"/>
    </row>
    <row r="215" spans="1:11" hidden="1">
      <c r="A215" s="130"/>
      <c r="B215" s="317"/>
      <c r="C215" s="318"/>
      <c r="D215" s="125"/>
      <c r="E215" s="125"/>
      <c r="F215" s="125"/>
      <c r="G215" s="125"/>
      <c r="H215" s="125"/>
      <c r="I215" s="113"/>
      <c r="J215" s="113"/>
      <c r="K215" s="113"/>
    </row>
    <row r="216" spans="1:11" hidden="1">
      <c r="A216" s="130"/>
      <c r="B216" s="317"/>
      <c r="C216" s="318"/>
      <c r="D216" s="125"/>
      <c r="E216" s="125"/>
      <c r="F216" s="125"/>
      <c r="G216" s="125"/>
      <c r="H216" s="125"/>
      <c r="I216" s="113"/>
      <c r="J216" s="113"/>
      <c r="K216" s="113"/>
    </row>
    <row r="217" spans="1:11" hidden="1">
      <c r="A217" s="124"/>
      <c r="B217" s="725"/>
      <c r="C217" s="726"/>
      <c r="D217" s="125"/>
      <c r="E217" s="125"/>
      <c r="F217" s="125"/>
      <c r="G217" s="125"/>
      <c r="H217" s="125"/>
      <c r="I217" s="113"/>
      <c r="J217" s="113"/>
      <c r="K217" s="113"/>
    </row>
    <row r="218" spans="1:11" hidden="1">
      <c r="A218" s="124"/>
      <c r="B218" s="725"/>
      <c r="C218" s="726"/>
      <c r="D218" s="125"/>
      <c r="E218" s="125"/>
      <c r="F218" s="125"/>
      <c r="G218" s="125"/>
      <c r="H218" s="125"/>
      <c r="I218" s="113"/>
      <c r="J218" s="113"/>
      <c r="K218" s="113"/>
    </row>
    <row r="219" spans="1:11" hidden="1">
      <c r="A219" s="124"/>
      <c r="B219" s="725"/>
      <c r="C219" s="726"/>
      <c r="D219" s="125"/>
      <c r="E219" s="125"/>
      <c r="F219" s="125"/>
      <c r="G219" s="125"/>
      <c r="H219" s="125"/>
      <c r="I219" s="113"/>
      <c r="J219" s="113"/>
      <c r="K219" s="113"/>
    </row>
    <row r="220" spans="1:11" hidden="1">
      <c r="A220" s="124"/>
      <c r="B220" s="725"/>
      <c r="C220" s="726"/>
      <c r="D220" s="125"/>
      <c r="E220" s="125"/>
      <c r="F220" s="125"/>
      <c r="G220" s="125"/>
      <c r="H220" s="125"/>
      <c r="I220" s="113"/>
      <c r="J220" s="113"/>
      <c r="K220" s="113"/>
    </row>
    <row r="221" spans="1:11" hidden="1">
      <c r="A221" s="166"/>
      <c r="B221" s="727"/>
      <c r="C221" s="728"/>
      <c r="D221" s="167"/>
      <c r="E221" s="167"/>
      <c r="F221" s="167"/>
      <c r="G221" s="167"/>
      <c r="H221" s="167"/>
      <c r="I221" s="171"/>
      <c r="J221" s="171"/>
      <c r="K221" s="171"/>
    </row>
    <row r="222" spans="1:11" ht="15.75" thickBot="1">
      <c r="A222" s="18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1:11" ht="15.75" thickBot="1">
      <c r="A223" s="131"/>
      <c r="B223" s="729" t="s">
        <v>264</v>
      </c>
      <c r="C223" s="730"/>
      <c r="D223" s="730"/>
      <c r="E223" s="731"/>
      <c r="F223" s="175">
        <f>F221+F193+F167+F141+G129+F115+G103+F90+F78+F66+F41+I29+F54</f>
        <v>859320</v>
      </c>
      <c r="G223" s="175">
        <f t="shared" ref="G223:H223" si="14">G221+G193+G167+G141+H129+G115+H103+G90+G78+G66+G41+J29+G54</f>
        <v>859320</v>
      </c>
      <c r="H223" s="175">
        <f t="shared" si="14"/>
        <v>859320</v>
      </c>
      <c r="I223" s="113"/>
      <c r="J223" s="113"/>
      <c r="K223" s="113"/>
    </row>
    <row r="224" spans="1:11">
      <c r="A224" s="18"/>
      <c r="B224" s="113"/>
      <c r="C224" s="113"/>
      <c r="D224" s="113"/>
      <c r="E224" s="113"/>
      <c r="F224" s="113"/>
      <c r="G224" s="356"/>
      <c r="H224" s="113"/>
      <c r="I224" s="113"/>
      <c r="J224" s="113"/>
      <c r="K224" s="113"/>
    </row>
    <row r="225" spans="1:11">
      <c r="A225" s="18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1:11">
      <c r="A226" s="732" t="s">
        <v>179</v>
      </c>
      <c r="B226" s="732"/>
      <c r="C226" s="732"/>
      <c r="D226" s="378" t="s">
        <v>492</v>
      </c>
      <c r="E226" s="379"/>
      <c r="F226" s="378"/>
      <c r="G226" s="379"/>
      <c r="H226" s="378" t="s">
        <v>475</v>
      </c>
      <c r="I226" s="312"/>
      <c r="J226" s="132"/>
      <c r="K226" s="132"/>
    </row>
    <row r="227" spans="1:11">
      <c r="A227" s="732" t="s">
        <v>180</v>
      </c>
      <c r="B227" s="732"/>
      <c r="C227" s="732"/>
      <c r="D227" s="134" t="s">
        <v>265</v>
      </c>
      <c r="E227" s="135"/>
      <c r="F227" s="134" t="s">
        <v>266</v>
      </c>
      <c r="G227" s="135"/>
      <c r="H227" s="322" t="s">
        <v>267</v>
      </c>
      <c r="I227" s="322"/>
      <c r="J227" s="135"/>
      <c r="K227" s="135"/>
    </row>
    <row r="228" spans="1:11">
      <c r="A228" s="321"/>
      <c r="B228" s="323"/>
      <c r="C228" s="323"/>
      <c r="D228" s="323"/>
      <c r="E228" s="323"/>
      <c r="F228" s="323"/>
      <c r="G228" s="323"/>
      <c r="H228" s="323"/>
      <c r="I228" s="323"/>
      <c r="J228" s="323"/>
      <c r="K228" s="323"/>
    </row>
    <row r="229" spans="1:11">
      <c r="A229" s="723" t="s">
        <v>182</v>
      </c>
      <c r="B229" s="723"/>
      <c r="C229" s="359" t="s">
        <v>476</v>
      </c>
      <c r="D229" s="360"/>
      <c r="E229" s="359" t="s">
        <v>477</v>
      </c>
      <c r="F229" s="132"/>
      <c r="G229" s="312"/>
      <c r="H229" s="312"/>
      <c r="I229" s="323"/>
      <c r="J229" s="323"/>
      <c r="K229" s="323"/>
    </row>
    <row r="230" spans="1:11">
      <c r="A230" s="323"/>
      <c r="B230" s="323"/>
      <c r="C230" s="134" t="s">
        <v>268</v>
      </c>
      <c r="D230" s="135"/>
      <c r="E230" s="322" t="s">
        <v>183</v>
      </c>
      <c r="F230" s="135"/>
      <c r="G230" s="724" t="s">
        <v>184</v>
      </c>
      <c r="H230" s="724"/>
      <c r="I230" s="323"/>
      <c r="J230" s="323"/>
      <c r="K230" s="323"/>
    </row>
    <row r="231" spans="1:11">
      <c r="A231" s="323"/>
      <c r="B231" s="323"/>
      <c r="C231" s="323"/>
      <c r="D231" s="323"/>
      <c r="E231" s="323"/>
      <c r="F231" s="323"/>
      <c r="G231" s="323"/>
      <c r="H231" s="323"/>
      <c r="I231" s="323"/>
      <c r="J231" s="323"/>
      <c r="K231" s="323"/>
    </row>
    <row r="232" spans="1:11">
      <c r="A232" s="323"/>
      <c r="B232" s="323"/>
      <c r="C232" s="323"/>
      <c r="D232" s="323"/>
      <c r="E232" s="323"/>
      <c r="F232" s="323"/>
      <c r="G232" s="323"/>
      <c r="H232" s="323"/>
      <c r="I232" s="323"/>
      <c r="J232" s="323"/>
      <c r="K232" s="323"/>
    </row>
    <row r="233" spans="1:11">
      <c r="A233" s="323"/>
      <c r="B233" s="323"/>
      <c r="C233" s="323"/>
      <c r="D233" s="323"/>
      <c r="E233" s="323"/>
      <c r="F233" s="323"/>
      <c r="G233" s="323"/>
      <c r="H233" s="323"/>
      <c r="I233" s="323"/>
      <c r="J233" s="323"/>
      <c r="K233" s="323"/>
    </row>
    <row r="234" spans="1:11">
      <c r="A234" s="323"/>
      <c r="B234" s="323"/>
      <c r="C234" s="323"/>
      <c r="D234" s="323"/>
      <c r="E234" s="323"/>
      <c r="F234" s="323"/>
      <c r="G234" s="323"/>
      <c r="H234" s="323"/>
      <c r="I234" s="323"/>
      <c r="J234" s="323"/>
      <c r="K234" s="323"/>
    </row>
    <row r="235" spans="1:11">
      <c r="A235" s="723" t="s">
        <v>489</v>
      </c>
      <c r="B235" s="723"/>
      <c r="C235" s="723"/>
      <c r="D235" s="723"/>
      <c r="E235" s="723"/>
      <c r="F235" s="323"/>
      <c r="G235" s="323"/>
      <c r="H235" s="323"/>
      <c r="I235" s="323"/>
      <c r="J235" s="323"/>
      <c r="K235" s="323"/>
    </row>
  </sheetData>
  <mergeCells count="129">
    <mergeCell ref="A226:C226"/>
    <mergeCell ref="A227:C227"/>
    <mergeCell ref="A229:B229"/>
    <mergeCell ref="G230:H230"/>
    <mergeCell ref="A235:E235"/>
    <mergeCell ref="B217:C217"/>
    <mergeCell ref="B218:C218"/>
    <mergeCell ref="B219:C219"/>
    <mergeCell ref="B220:C220"/>
    <mergeCell ref="B221:C221"/>
    <mergeCell ref="B223:E223"/>
    <mergeCell ref="B192:C192"/>
    <mergeCell ref="B193:C193"/>
    <mergeCell ref="B197:C197"/>
    <mergeCell ref="B198:C198"/>
    <mergeCell ref="B199:C199"/>
    <mergeCell ref="B200:C200"/>
    <mergeCell ref="B174:C174"/>
    <mergeCell ref="B175:C175"/>
    <mergeCell ref="B176:C176"/>
    <mergeCell ref="B181:C181"/>
    <mergeCell ref="B190:C190"/>
    <mergeCell ref="B191:C191"/>
    <mergeCell ref="B165:C165"/>
    <mergeCell ref="B166:C166"/>
    <mergeCell ref="B167:C167"/>
    <mergeCell ref="B171:C171"/>
    <mergeCell ref="B172:C172"/>
    <mergeCell ref="B173:C173"/>
    <mergeCell ref="B156:C156"/>
    <mergeCell ref="B158:C158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4:C154"/>
    <mergeCell ref="B138:C138"/>
    <mergeCell ref="B139:C139"/>
    <mergeCell ref="B140:C140"/>
    <mergeCell ref="B141:C141"/>
    <mergeCell ref="B145:C145"/>
    <mergeCell ref="B146:C146"/>
    <mergeCell ref="B129:C129"/>
    <mergeCell ref="B133:C133"/>
    <mergeCell ref="B134:C134"/>
    <mergeCell ref="B135:C135"/>
    <mergeCell ref="B136:C136"/>
    <mergeCell ref="B137:C137"/>
    <mergeCell ref="B121:C121"/>
    <mergeCell ref="B122:C122"/>
    <mergeCell ref="B123:C123"/>
    <mergeCell ref="B124:F124"/>
    <mergeCell ref="B125:C125"/>
    <mergeCell ref="B127:C127"/>
    <mergeCell ref="B112:C112"/>
    <mergeCell ref="B113:C113"/>
    <mergeCell ref="B114:C114"/>
    <mergeCell ref="B115:C115"/>
    <mergeCell ref="B119:C119"/>
    <mergeCell ref="B120:C120"/>
    <mergeCell ref="B103:C103"/>
    <mergeCell ref="B107:C107"/>
    <mergeCell ref="B108:C108"/>
    <mergeCell ref="B109:C109"/>
    <mergeCell ref="B110:C110"/>
    <mergeCell ref="B111:C111"/>
    <mergeCell ref="B95:C95"/>
    <mergeCell ref="B96:C96"/>
    <mergeCell ref="B97:C97"/>
    <mergeCell ref="B98:C98"/>
    <mergeCell ref="B101:C101"/>
    <mergeCell ref="B102:C102"/>
    <mergeCell ref="B85:C85"/>
    <mergeCell ref="B86:C86"/>
    <mergeCell ref="B87:C87"/>
    <mergeCell ref="B88:C88"/>
    <mergeCell ref="B89:C89"/>
    <mergeCell ref="B90:C90"/>
    <mergeCell ref="B77:C77"/>
    <mergeCell ref="B78:C78"/>
    <mergeCell ref="A80:H80"/>
    <mergeCell ref="B82:C82"/>
    <mergeCell ref="B83:C83"/>
    <mergeCell ref="B84:C84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3:D53"/>
    <mergeCell ref="B54:D54"/>
    <mergeCell ref="B58:C58"/>
    <mergeCell ref="B59:C59"/>
    <mergeCell ref="B60:C60"/>
    <mergeCell ref="B61:C61"/>
    <mergeCell ref="B47:D47"/>
    <mergeCell ref="B48:D48"/>
    <mergeCell ref="B49:D49"/>
    <mergeCell ref="B50:D50"/>
    <mergeCell ref="B51:D51"/>
    <mergeCell ref="B52:D52"/>
    <mergeCell ref="J13:J15"/>
    <mergeCell ref="K13:K15"/>
    <mergeCell ref="D14:D15"/>
    <mergeCell ref="A43:H43"/>
    <mergeCell ref="B45:D45"/>
    <mergeCell ref="B46:D46"/>
    <mergeCell ref="A1:K1"/>
    <mergeCell ref="A4:K4"/>
    <mergeCell ref="A6:B6"/>
    <mergeCell ref="A8:C8"/>
    <mergeCell ref="A13:A15"/>
    <mergeCell ref="B13:B15"/>
    <mergeCell ref="C13:C15"/>
    <mergeCell ref="D13:G13"/>
    <mergeCell ref="H13:H15"/>
    <mergeCell ref="I13:I15"/>
  </mergeCells>
  <pageMargins left="0.25" right="0.25" top="0.75" bottom="0.75" header="0.3" footer="0.3"/>
  <pageSetup paperSize="9" scale="7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8"/>
  <sheetViews>
    <sheetView workbookViewId="0">
      <selection activeCell="E174" sqref="E174:G174"/>
    </sheetView>
  </sheetViews>
  <sheetFormatPr defaultRowHeight="15"/>
  <cols>
    <col min="2" max="2" width="15.85546875" customWidth="1"/>
    <col min="3" max="3" width="11.7109375" customWidth="1"/>
    <col min="5" max="5" width="17.7109375" customWidth="1"/>
    <col min="6" max="6" width="12" customWidth="1"/>
    <col min="7" max="7" width="11.7109375" customWidth="1"/>
  </cols>
  <sheetData>
    <row r="1" spans="1:10" ht="42" customHeight="1">
      <c r="A1" s="770" t="s">
        <v>203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>
      <c r="A2" s="18"/>
      <c r="B2" s="113"/>
      <c r="C2" s="113"/>
      <c r="D2" s="113"/>
      <c r="E2" s="113"/>
      <c r="F2" s="113"/>
      <c r="G2" s="113"/>
      <c r="H2" s="113"/>
      <c r="I2" s="113"/>
      <c r="J2" s="113"/>
    </row>
    <row r="3" spans="1:10">
      <c r="A3" s="18"/>
      <c r="B3" s="113"/>
      <c r="C3" s="113"/>
      <c r="D3" s="113"/>
      <c r="E3" s="113"/>
      <c r="F3" s="113"/>
      <c r="G3" s="113"/>
      <c r="H3" s="113"/>
      <c r="I3" s="113"/>
      <c r="J3" s="113"/>
    </row>
    <row r="4" spans="1:10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</row>
    <row r="5" spans="1:10">
      <c r="A5" s="18"/>
      <c r="B5" s="113"/>
      <c r="C5" s="113"/>
      <c r="D5" s="113"/>
      <c r="E5" s="113"/>
      <c r="F5" s="113"/>
      <c r="G5" s="113"/>
      <c r="H5" s="113"/>
      <c r="I5" s="113"/>
      <c r="J5" s="113"/>
    </row>
    <row r="6" spans="1:10">
      <c r="A6" s="471" t="s">
        <v>204</v>
      </c>
      <c r="B6" s="471"/>
      <c r="C6" s="391" t="s">
        <v>345</v>
      </c>
      <c r="D6" s="113"/>
      <c r="E6" s="113"/>
      <c r="F6" s="113"/>
      <c r="G6" s="113"/>
      <c r="H6" s="113"/>
      <c r="I6" s="113"/>
      <c r="J6" s="113"/>
    </row>
    <row r="7" spans="1:10">
      <c r="A7" s="18"/>
      <c r="B7" s="113"/>
      <c r="C7" s="113"/>
      <c r="D7" s="113"/>
      <c r="E7" s="113"/>
      <c r="F7" s="113"/>
      <c r="G7" s="113"/>
      <c r="H7" s="113"/>
      <c r="I7" s="113"/>
      <c r="J7" s="113"/>
    </row>
    <row r="8" spans="1:10">
      <c r="A8" s="471" t="s">
        <v>205</v>
      </c>
      <c r="B8" s="471"/>
      <c r="C8" s="471"/>
      <c r="D8" s="342" t="s">
        <v>300</v>
      </c>
      <c r="E8" s="113"/>
      <c r="F8" s="113"/>
      <c r="G8" s="113"/>
      <c r="H8" s="113"/>
      <c r="I8" s="113"/>
      <c r="J8" s="113"/>
    </row>
    <row r="9" spans="1:10">
      <c r="A9" s="324"/>
      <c r="B9" s="324"/>
      <c r="C9" s="324"/>
      <c r="D9" s="113"/>
      <c r="E9" s="113"/>
      <c r="F9" s="113"/>
      <c r="G9" s="113"/>
      <c r="H9" s="113"/>
      <c r="I9" s="113"/>
      <c r="J9" s="113"/>
    </row>
    <row r="10" spans="1:10" hidden="1">
      <c r="A10" s="116" t="s">
        <v>206</v>
      </c>
      <c r="B10" s="117"/>
      <c r="C10" s="117"/>
      <c r="D10" s="113"/>
      <c r="E10" s="113"/>
      <c r="F10" s="113"/>
      <c r="G10" s="113"/>
      <c r="H10" s="113"/>
      <c r="I10" s="113"/>
      <c r="J10" s="113"/>
    </row>
    <row r="11" spans="1:10" hidden="1">
      <c r="A11" s="116" t="s">
        <v>207</v>
      </c>
      <c r="B11" s="117"/>
      <c r="C11" s="117"/>
      <c r="D11" s="113"/>
      <c r="E11" s="113"/>
      <c r="F11" s="113"/>
      <c r="G11" s="113"/>
      <c r="H11" s="113"/>
      <c r="I11" s="113"/>
      <c r="J11" s="113"/>
    </row>
    <row r="12" spans="1:10" hidden="1">
      <c r="A12" s="18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idden="1">
      <c r="A13" s="766"/>
      <c r="B13" s="767" t="s">
        <v>208</v>
      </c>
      <c r="C13" s="767" t="s">
        <v>209</v>
      </c>
      <c r="D13" s="767"/>
      <c r="E13" s="767"/>
      <c r="F13" s="767"/>
      <c r="G13" s="767" t="s">
        <v>211</v>
      </c>
      <c r="H13" s="767" t="s">
        <v>481</v>
      </c>
      <c r="I13" s="767" t="s">
        <v>308</v>
      </c>
      <c r="J13" s="767" t="s">
        <v>309</v>
      </c>
    </row>
    <row r="14" spans="1:10" hidden="1">
      <c r="A14" s="766"/>
      <c r="B14" s="767"/>
      <c r="C14" s="767"/>
      <c r="D14" s="336" t="s">
        <v>29</v>
      </c>
      <c r="E14" s="336"/>
      <c r="F14" s="336"/>
      <c r="G14" s="767"/>
      <c r="H14" s="767"/>
      <c r="I14" s="767"/>
      <c r="J14" s="767"/>
    </row>
    <row r="15" spans="1:10" ht="48.75" hidden="1">
      <c r="A15" s="766"/>
      <c r="B15" s="767"/>
      <c r="C15" s="767"/>
      <c r="D15" s="120" t="s">
        <v>213</v>
      </c>
      <c r="E15" s="120" t="s">
        <v>214</v>
      </c>
      <c r="F15" s="120" t="s">
        <v>215</v>
      </c>
      <c r="G15" s="767"/>
      <c r="H15" s="767"/>
      <c r="I15" s="767"/>
      <c r="J15" s="767"/>
    </row>
    <row r="16" spans="1:10" hidden="1">
      <c r="A16" s="122">
        <v>1</v>
      </c>
      <c r="B16" s="122">
        <v>2</v>
      </c>
      <c r="C16" s="122">
        <v>3</v>
      </c>
      <c r="D16" s="122">
        <v>5</v>
      </c>
      <c r="E16" s="122">
        <v>6</v>
      </c>
      <c r="F16" s="122">
        <v>7</v>
      </c>
      <c r="G16" s="122">
        <v>8</v>
      </c>
      <c r="H16" s="122">
        <v>9</v>
      </c>
      <c r="I16" s="122">
        <v>10</v>
      </c>
      <c r="J16" s="122">
        <v>11</v>
      </c>
    </row>
    <row r="17" spans="1:10" hidden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idden="1">
      <c r="A18" s="124"/>
      <c r="B18" s="120"/>
      <c r="C18" s="343"/>
      <c r="D18" s="343"/>
      <c r="E18" s="343"/>
      <c r="F18" s="343"/>
      <c r="G18" s="125"/>
      <c r="H18" s="169"/>
      <c r="I18" s="343"/>
      <c r="J18" s="125"/>
    </row>
    <row r="19" spans="1:10" hidden="1">
      <c r="A19" s="124"/>
      <c r="B19" s="120"/>
      <c r="C19" s="343"/>
      <c r="D19" s="343"/>
      <c r="E19" s="343"/>
      <c r="F19" s="343"/>
      <c r="G19" s="125"/>
      <c r="H19" s="169"/>
      <c r="I19" s="343"/>
      <c r="J19" s="125"/>
    </row>
    <row r="20" spans="1:10" hidden="1">
      <c r="A20" s="124"/>
      <c r="B20" s="120"/>
      <c r="C20" s="343"/>
      <c r="D20" s="343"/>
      <c r="E20" s="343"/>
      <c r="F20" s="343"/>
      <c r="G20" s="125"/>
      <c r="H20" s="169"/>
      <c r="I20" s="343"/>
      <c r="J20" s="169"/>
    </row>
    <row r="21" spans="1:10" hidden="1">
      <c r="A21" s="122"/>
      <c r="B21" s="122"/>
      <c r="C21" s="122"/>
      <c r="D21" s="122"/>
      <c r="E21" s="122"/>
      <c r="F21" s="122"/>
      <c r="G21" s="122"/>
      <c r="H21" s="122"/>
      <c r="I21" s="382"/>
      <c r="J21" s="122"/>
    </row>
    <row r="22" spans="1:10" hidden="1">
      <c r="A22" s="124"/>
      <c r="B22" s="120"/>
      <c r="C22" s="343"/>
      <c r="D22" s="343"/>
      <c r="E22" s="343"/>
      <c r="F22" s="343"/>
      <c r="G22" s="125"/>
      <c r="H22" s="169"/>
      <c r="I22" s="343"/>
      <c r="J22" s="125"/>
    </row>
    <row r="23" spans="1:10" hidden="1">
      <c r="A23" s="124"/>
      <c r="B23" s="120"/>
      <c r="C23" s="343"/>
      <c r="D23" s="343"/>
      <c r="E23" s="343"/>
      <c r="F23" s="343"/>
      <c r="G23" s="125"/>
      <c r="H23" s="169"/>
      <c r="I23" s="343"/>
      <c r="J23" s="125"/>
    </row>
    <row r="24" spans="1:10" hidden="1">
      <c r="A24" s="124"/>
      <c r="B24" s="120"/>
      <c r="C24" s="343"/>
      <c r="D24" s="343"/>
      <c r="E24" s="343"/>
      <c r="F24" s="343"/>
      <c r="G24" s="125"/>
      <c r="H24" s="169"/>
      <c r="I24" s="343"/>
      <c r="J24" s="169"/>
    </row>
    <row r="25" spans="1:10" hidden="1">
      <c r="A25" s="122"/>
      <c r="B25" s="122"/>
      <c r="C25" s="122"/>
      <c r="D25" s="122"/>
      <c r="E25" s="122"/>
      <c r="F25" s="122"/>
      <c r="G25" s="122"/>
      <c r="H25" s="122"/>
      <c r="I25" s="343"/>
      <c r="J25" s="169"/>
    </row>
    <row r="26" spans="1:10" hidden="1">
      <c r="A26" s="124"/>
      <c r="B26" s="120"/>
      <c r="C26" s="343"/>
      <c r="D26" s="343"/>
      <c r="E26" s="343"/>
      <c r="F26" s="343"/>
      <c r="G26" s="125"/>
      <c r="H26" s="169"/>
      <c r="I26" s="343"/>
      <c r="J26" s="169"/>
    </row>
    <row r="27" spans="1:10" hidden="1">
      <c r="A27" s="124"/>
      <c r="B27" s="120"/>
      <c r="C27" s="343"/>
      <c r="D27" s="343"/>
      <c r="E27" s="343"/>
      <c r="F27" s="343"/>
      <c r="G27" s="125"/>
      <c r="H27" s="169"/>
      <c r="I27" s="343"/>
      <c r="J27" s="169"/>
    </row>
    <row r="28" spans="1:10" hidden="1">
      <c r="A28" s="124"/>
      <c r="B28" s="120"/>
      <c r="C28" s="343"/>
      <c r="D28" s="343"/>
      <c r="E28" s="343"/>
      <c r="F28" s="343"/>
      <c r="G28" s="125"/>
      <c r="H28" s="169"/>
      <c r="I28" s="343"/>
      <c r="J28" s="169"/>
    </row>
    <row r="29" spans="1:10" hidden="1">
      <c r="A29" s="124"/>
      <c r="B29" s="122"/>
      <c r="C29" s="122"/>
      <c r="D29" s="122"/>
      <c r="E29" s="122"/>
      <c r="F29" s="122"/>
      <c r="G29" s="125"/>
      <c r="H29" s="169"/>
      <c r="I29" s="343"/>
      <c r="J29" s="169"/>
    </row>
    <row r="30" spans="1:10" hidden="1">
      <c r="A30" s="124"/>
      <c r="B30" s="120"/>
      <c r="C30" s="343"/>
      <c r="D30" s="343"/>
      <c r="E30" s="343"/>
      <c r="F30" s="343"/>
      <c r="G30" s="125"/>
      <c r="H30" s="169"/>
      <c r="I30" s="343"/>
      <c r="J30" s="169"/>
    </row>
    <row r="31" spans="1:10" hidden="1">
      <c r="A31" s="124"/>
      <c r="B31" s="120"/>
      <c r="C31" s="343"/>
      <c r="D31" s="343"/>
      <c r="E31" s="343"/>
      <c r="F31" s="343"/>
      <c r="G31" s="125"/>
      <c r="H31" s="169"/>
      <c r="I31" s="169"/>
      <c r="J31" s="169"/>
    </row>
    <row r="32" spans="1:10" hidden="1">
      <c r="A32" s="124"/>
      <c r="B32" s="120"/>
      <c r="C32" s="343"/>
      <c r="D32" s="343"/>
      <c r="E32" s="343"/>
      <c r="F32" s="343"/>
      <c r="G32" s="125"/>
      <c r="H32" s="169"/>
      <c r="I32" s="169"/>
      <c r="J32" s="169"/>
    </row>
    <row r="33" spans="1:10" hidden="1">
      <c r="A33" s="124"/>
      <c r="B33" s="776"/>
      <c r="C33" s="777"/>
      <c r="D33" s="777"/>
      <c r="E33" s="777"/>
      <c r="F33" s="777"/>
      <c r="G33" s="747"/>
      <c r="H33" s="169"/>
      <c r="I33" s="169"/>
      <c r="J33" s="169"/>
    </row>
    <row r="34" spans="1:10" hidden="1">
      <c r="A34" s="166" t="s">
        <v>216</v>
      </c>
      <c r="B34" s="167"/>
      <c r="C34" s="167"/>
      <c r="D34" s="167"/>
      <c r="E34" s="167"/>
      <c r="F34" s="167"/>
      <c r="G34" s="167"/>
      <c r="H34" s="170">
        <f>SUM(H18:H33)</f>
        <v>0</v>
      </c>
      <c r="I34" s="170">
        <f>SUM(I18:I32)</f>
        <v>0</v>
      </c>
      <c r="J34" s="170">
        <f>SUM(J18:J32)</f>
        <v>0</v>
      </c>
    </row>
    <row r="35" spans="1:10" hidden="1">
      <c r="A35" s="18"/>
      <c r="B35" s="113"/>
      <c r="C35" s="113"/>
      <c r="D35" s="113"/>
      <c r="E35" s="113"/>
      <c r="F35" s="113"/>
      <c r="G35" s="113"/>
      <c r="H35" s="392"/>
      <c r="I35" s="392"/>
      <c r="J35" s="392"/>
    </row>
    <row r="36" spans="1:10" hidden="1">
      <c r="A36" s="67" t="s">
        <v>217</v>
      </c>
      <c r="B36" s="117"/>
      <c r="C36" s="117"/>
      <c r="D36" s="117"/>
      <c r="E36" s="117"/>
      <c r="F36" s="117"/>
      <c r="G36" s="117"/>
      <c r="H36" s="117"/>
      <c r="I36" s="362"/>
      <c r="J36" s="362"/>
    </row>
    <row r="37" spans="1:10" hidden="1">
      <c r="A37" s="18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ht="72.75" hidden="1">
      <c r="A38" s="126" t="s">
        <v>218</v>
      </c>
      <c r="B38" s="120" t="s">
        <v>219</v>
      </c>
      <c r="C38" s="120" t="s">
        <v>220</v>
      </c>
      <c r="D38" s="120" t="s">
        <v>222</v>
      </c>
      <c r="E38" s="120" t="s">
        <v>223</v>
      </c>
      <c r="F38" s="120" t="s">
        <v>223</v>
      </c>
      <c r="G38" s="120" t="s">
        <v>223</v>
      </c>
      <c r="H38" s="127"/>
      <c r="I38" s="127"/>
      <c r="J38" s="127"/>
    </row>
    <row r="39" spans="1:10" hidden="1">
      <c r="A39" s="122">
        <v>1</v>
      </c>
      <c r="B39" s="122">
        <v>2</v>
      </c>
      <c r="C39" s="122">
        <v>3</v>
      </c>
      <c r="D39" s="122">
        <v>5</v>
      </c>
      <c r="E39" s="122">
        <v>6</v>
      </c>
      <c r="F39" s="122">
        <v>7</v>
      </c>
      <c r="G39" s="122">
        <v>8</v>
      </c>
      <c r="H39" s="325"/>
      <c r="I39" s="325"/>
      <c r="J39" s="325"/>
    </row>
    <row r="40" spans="1:10" hidden="1">
      <c r="A40" s="124"/>
      <c r="B40" s="125"/>
      <c r="C40" s="125"/>
      <c r="D40" s="125"/>
      <c r="E40" s="125"/>
      <c r="F40" s="125"/>
      <c r="G40" s="125"/>
      <c r="H40" s="113"/>
      <c r="I40" s="113"/>
      <c r="J40" s="113"/>
    </row>
    <row r="41" spans="1:10" hidden="1">
      <c r="A41" s="124"/>
      <c r="B41" s="125"/>
      <c r="C41" s="125"/>
      <c r="D41" s="125"/>
      <c r="E41" s="125"/>
      <c r="F41" s="125"/>
      <c r="G41" s="125"/>
      <c r="H41" s="113"/>
      <c r="I41" s="113"/>
      <c r="J41" s="113"/>
    </row>
    <row r="42" spans="1:10" hidden="1">
      <c r="A42" s="124"/>
      <c r="B42" s="125"/>
      <c r="C42" s="125"/>
      <c r="D42" s="125"/>
      <c r="E42" s="125"/>
      <c r="F42" s="125"/>
      <c r="G42" s="125"/>
      <c r="H42" s="113"/>
      <c r="I42" s="113"/>
      <c r="J42" s="113"/>
    </row>
    <row r="43" spans="1:10" hidden="1">
      <c r="A43" s="124"/>
      <c r="B43" s="125"/>
      <c r="C43" s="125"/>
      <c r="D43" s="125"/>
      <c r="E43" s="125"/>
      <c r="F43" s="125"/>
      <c r="G43" s="125"/>
      <c r="H43" s="113"/>
      <c r="I43" s="113"/>
      <c r="J43" s="113"/>
    </row>
    <row r="44" spans="1:10" hidden="1">
      <c r="A44" s="124"/>
      <c r="B44" s="125"/>
      <c r="C44" s="125"/>
      <c r="D44" s="125"/>
      <c r="E44" s="125"/>
      <c r="F44" s="125"/>
      <c r="G44" s="125"/>
      <c r="H44" s="113"/>
      <c r="I44" s="113"/>
      <c r="J44" s="113"/>
    </row>
    <row r="45" spans="1:10" hidden="1">
      <c r="A45" s="124"/>
      <c r="B45" s="125"/>
      <c r="C45" s="125"/>
      <c r="D45" s="125"/>
      <c r="E45" s="125"/>
      <c r="F45" s="125"/>
      <c r="G45" s="125"/>
      <c r="H45" s="113"/>
      <c r="I45" s="113"/>
      <c r="J45" s="113"/>
    </row>
    <row r="46" spans="1:10" hidden="1">
      <c r="A46" s="124"/>
      <c r="B46" s="125"/>
      <c r="C46" s="125"/>
      <c r="D46" s="125"/>
      <c r="E46" s="125"/>
      <c r="F46" s="125"/>
      <c r="G46" s="125"/>
      <c r="H46" s="113"/>
      <c r="I46" s="113"/>
      <c r="J46" s="113"/>
    </row>
    <row r="47" spans="1:10" hidden="1">
      <c r="A47" s="18"/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hidden="1">
      <c r="A48" s="763" t="s">
        <v>224</v>
      </c>
      <c r="B48" s="763"/>
      <c r="C48" s="763"/>
      <c r="D48" s="763"/>
      <c r="E48" s="763"/>
      <c r="F48" s="763"/>
      <c r="G48" s="763"/>
      <c r="H48" s="113"/>
      <c r="I48" s="113"/>
      <c r="J48" s="113"/>
    </row>
    <row r="49" spans="1:10" hidden="1">
      <c r="A49" s="18"/>
      <c r="B49" s="113"/>
      <c r="C49" s="113"/>
      <c r="D49" s="113"/>
      <c r="E49" s="113"/>
      <c r="F49" s="113"/>
      <c r="G49" s="113"/>
      <c r="H49" s="113"/>
      <c r="I49" s="113"/>
      <c r="J49" s="113"/>
    </row>
    <row r="50" spans="1:10" ht="84.75" hidden="1">
      <c r="A50" s="126" t="s">
        <v>218</v>
      </c>
      <c r="B50" s="733" t="s">
        <v>225</v>
      </c>
      <c r="C50" s="764"/>
      <c r="D50" s="120" t="s">
        <v>226</v>
      </c>
      <c r="E50" s="120" t="s">
        <v>483</v>
      </c>
      <c r="F50" s="120" t="s">
        <v>301</v>
      </c>
      <c r="G50" s="120" t="s">
        <v>302</v>
      </c>
      <c r="H50" s="113"/>
      <c r="I50" s="113"/>
      <c r="J50" s="113"/>
    </row>
    <row r="51" spans="1:10" hidden="1">
      <c r="A51" s="122">
        <v>1</v>
      </c>
      <c r="B51" s="725">
        <v>2</v>
      </c>
      <c r="C51" s="765"/>
      <c r="D51" s="122">
        <v>3</v>
      </c>
      <c r="E51" s="122">
        <v>4</v>
      </c>
      <c r="F51" s="122">
        <v>5</v>
      </c>
      <c r="G51" s="122">
        <v>6</v>
      </c>
      <c r="H51" s="113"/>
      <c r="I51" s="113"/>
      <c r="J51" s="113"/>
    </row>
    <row r="52" spans="1:10" hidden="1">
      <c r="A52" s="124">
        <v>1</v>
      </c>
      <c r="B52" s="759" t="s">
        <v>227</v>
      </c>
      <c r="C52" s="760"/>
      <c r="D52" s="169"/>
      <c r="E52" s="169">
        <f>E54</f>
        <v>0</v>
      </c>
      <c r="F52" s="169">
        <f t="shared" ref="F52:G52" si="0">F54</f>
        <v>0</v>
      </c>
      <c r="G52" s="169">
        <f t="shared" si="0"/>
        <v>0</v>
      </c>
      <c r="H52" s="113"/>
      <c r="I52" s="113"/>
      <c r="J52" s="113"/>
    </row>
    <row r="53" spans="1:10" hidden="1">
      <c r="A53" s="124"/>
      <c r="B53" s="759" t="s">
        <v>29</v>
      </c>
      <c r="C53" s="760"/>
      <c r="D53" s="169"/>
      <c r="E53" s="169"/>
      <c r="F53" s="169"/>
      <c r="G53" s="169"/>
      <c r="H53" s="113"/>
      <c r="I53" s="113"/>
      <c r="J53" s="113"/>
    </row>
    <row r="54" spans="1:10" hidden="1">
      <c r="A54" s="130"/>
      <c r="B54" s="759" t="s">
        <v>228</v>
      </c>
      <c r="C54" s="760"/>
      <c r="D54" s="169">
        <f>H18+H19+H20+H22+H23+H24+H26+H27+H28+H30+H31+H32</f>
        <v>0</v>
      </c>
      <c r="E54" s="169">
        <f>ROUND(D54*0.22,0)</f>
        <v>0</v>
      </c>
      <c r="F54" s="169">
        <f>ROUND(I34*0.22,0)</f>
        <v>0</v>
      </c>
      <c r="G54" s="169">
        <f>ROUND(J34*0.22,0)</f>
        <v>0</v>
      </c>
      <c r="H54" s="113"/>
      <c r="I54" s="113"/>
      <c r="J54" s="113"/>
    </row>
    <row r="55" spans="1:10" hidden="1">
      <c r="A55" s="124">
        <v>2</v>
      </c>
      <c r="B55" s="759" t="s">
        <v>229</v>
      </c>
      <c r="C55" s="760"/>
      <c r="D55" s="169"/>
      <c r="E55" s="169">
        <f>E56+E57</f>
        <v>0</v>
      </c>
      <c r="F55" s="169">
        <f t="shared" ref="F55:G55" si="1">F56+F57</f>
        <v>0</v>
      </c>
      <c r="G55" s="169">
        <f t="shared" si="1"/>
        <v>0</v>
      </c>
      <c r="H55" s="113"/>
      <c r="I55" s="113"/>
      <c r="J55" s="113"/>
    </row>
    <row r="56" spans="1:10" hidden="1">
      <c r="A56" s="124"/>
      <c r="B56" s="759" t="s">
        <v>230</v>
      </c>
      <c r="C56" s="760"/>
      <c r="D56" s="169">
        <f>D54</f>
        <v>0</v>
      </c>
      <c r="E56" s="169">
        <f>ROUND(D56*0.029,0)</f>
        <v>0</v>
      </c>
      <c r="F56" s="169">
        <f>ROUND(I34*0.029,0)</f>
        <v>0</v>
      </c>
      <c r="G56" s="169">
        <f>ROUND(J34*0.029,0)</f>
        <v>0</v>
      </c>
      <c r="H56" s="113"/>
      <c r="I56" s="113"/>
      <c r="J56" s="113"/>
    </row>
    <row r="57" spans="1:10" hidden="1">
      <c r="A57" s="124"/>
      <c r="B57" s="759" t="s">
        <v>231</v>
      </c>
      <c r="C57" s="760"/>
      <c r="D57" s="169">
        <f>D56</f>
        <v>0</v>
      </c>
      <c r="E57" s="169">
        <f>ROUND(D57*0.002,0)</f>
        <v>0</v>
      </c>
      <c r="F57" s="169">
        <f>ROUND(I34*0.002,0)</f>
        <v>0</v>
      </c>
      <c r="G57" s="169">
        <f>ROUND(J34*0.002,0)</f>
        <v>0</v>
      </c>
      <c r="H57" s="113"/>
      <c r="I57" s="113"/>
      <c r="J57" s="113"/>
    </row>
    <row r="58" spans="1:10" hidden="1">
      <c r="A58" s="124">
        <v>3</v>
      </c>
      <c r="B58" s="759" t="s">
        <v>232</v>
      </c>
      <c r="C58" s="760"/>
      <c r="D58" s="169">
        <f>D57</f>
        <v>0</v>
      </c>
      <c r="E58" s="169">
        <f>ROUND(D58*0.051,0)</f>
        <v>0</v>
      </c>
      <c r="F58" s="169">
        <f>ROUND(I34*0.051,0)</f>
        <v>0</v>
      </c>
      <c r="G58" s="169">
        <f>ROUND(J34*0.051,0)</f>
        <v>0</v>
      </c>
      <c r="H58" s="113"/>
      <c r="I58" s="113"/>
      <c r="J58" s="113"/>
    </row>
    <row r="59" spans="1:10" hidden="1">
      <c r="A59" s="166"/>
      <c r="B59" s="762" t="s">
        <v>216</v>
      </c>
      <c r="C59" s="762"/>
      <c r="D59" s="170"/>
      <c r="E59" s="170">
        <f>E52+E55+E58</f>
        <v>0</v>
      </c>
      <c r="F59" s="170">
        <f t="shared" ref="F59:G59" si="2">F52+F55+F58</f>
        <v>0</v>
      </c>
      <c r="G59" s="170">
        <f t="shared" si="2"/>
        <v>0</v>
      </c>
      <c r="H59" s="171"/>
      <c r="I59" s="171"/>
      <c r="J59" s="171"/>
    </row>
    <row r="60" spans="1:10" hidden="1">
      <c r="A60" s="18"/>
      <c r="B60" s="113"/>
      <c r="C60" s="113"/>
      <c r="D60" s="113"/>
      <c r="E60" s="368"/>
      <c r="F60" s="368"/>
      <c r="G60" s="368"/>
      <c r="H60" s="113"/>
      <c r="I60" s="113"/>
      <c r="J60" s="113"/>
    </row>
    <row r="61" spans="1:10" hidden="1">
      <c r="A61" s="67" t="s">
        <v>233</v>
      </c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 hidden="1">
      <c r="A62" s="18"/>
      <c r="B62" s="113"/>
      <c r="C62" s="113"/>
      <c r="D62" s="113"/>
      <c r="E62" s="113"/>
      <c r="F62" s="113"/>
      <c r="G62" s="113"/>
      <c r="H62" s="113"/>
      <c r="I62" s="113"/>
      <c r="J62" s="113"/>
    </row>
    <row r="63" spans="1:10" ht="48.75" hidden="1">
      <c r="A63" s="126" t="s">
        <v>218</v>
      </c>
      <c r="B63" s="733" t="s">
        <v>0</v>
      </c>
      <c r="C63" s="734"/>
      <c r="D63" s="120" t="s">
        <v>235</v>
      </c>
      <c r="E63" s="120" t="s">
        <v>484</v>
      </c>
      <c r="F63" s="120" t="s">
        <v>303</v>
      </c>
      <c r="G63" s="120" t="s">
        <v>304</v>
      </c>
      <c r="H63" s="113"/>
      <c r="I63" s="113"/>
      <c r="J63" s="113"/>
    </row>
    <row r="64" spans="1:10" hidden="1">
      <c r="A64" s="122">
        <v>1</v>
      </c>
      <c r="B64" s="725">
        <v>2</v>
      </c>
      <c r="C64" s="726"/>
      <c r="D64" s="122">
        <v>4</v>
      </c>
      <c r="E64" s="122">
        <v>5</v>
      </c>
      <c r="F64" s="122">
        <v>6</v>
      </c>
      <c r="G64" s="122">
        <v>7</v>
      </c>
      <c r="H64" s="113"/>
      <c r="I64" s="113"/>
      <c r="J64" s="113"/>
    </row>
    <row r="65" spans="1:10" hidden="1">
      <c r="A65" s="124">
        <v>1</v>
      </c>
      <c r="B65" s="725" t="s">
        <v>310</v>
      </c>
      <c r="C65" s="726"/>
      <c r="D65" s="125"/>
      <c r="E65" s="169" t="e">
        <f>#REF!*D65</f>
        <v>#REF!</v>
      </c>
      <c r="F65" s="169"/>
      <c r="G65" s="169"/>
      <c r="H65" s="113"/>
      <c r="I65" s="113"/>
      <c r="J65" s="113"/>
    </row>
    <row r="66" spans="1:10" hidden="1">
      <c r="A66" s="124">
        <v>2</v>
      </c>
      <c r="B66" s="725" t="s">
        <v>352</v>
      </c>
      <c r="C66" s="726"/>
      <c r="D66" s="125"/>
      <c r="E66" s="169"/>
      <c r="F66" s="169"/>
      <c r="G66" s="169"/>
      <c r="H66" s="113"/>
      <c r="I66" s="113"/>
      <c r="J66" s="113"/>
    </row>
    <row r="67" spans="1:10" hidden="1">
      <c r="A67" s="124"/>
      <c r="B67" s="725"/>
      <c r="C67" s="726"/>
      <c r="D67" s="125"/>
      <c r="E67" s="169" t="e">
        <f>#REF!*D67</f>
        <v>#REF!</v>
      </c>
      <c r="F67" s="169"/>
      <c r="G67" s="169"/>
      <c r="H67" s="113"/>
      <c r="I67" s="113"/>
      <c r="J67" s="113"/>
    </row>
    <row r="68" spans="1:10" hidden="1">
      <c r="A68" s="124"/>
      <c r="B68" s="725"/>
      <c r="C68" s="726"/>
      <c r="D68" s="125"/>
      <c r="E68" s="169" t="e">
        <f>#REF!*D68</f>
        <v>#REF!</v>
      </c>
      <c r="F68" s="169"/>
      <c r="G68" s="169"/>
      <c r="H68" s="113"/>
      <c r="I68" s="113"/>
      <c r="J68" s="113"/>
    </row>
    <row r="69" spans="1:10" hidden="1">
      <c r="A69" s="124"/>
      <c r="B69" s="725"/>
      <c r="C69" s="726"/>
      <c r="D69" s="125"/>
      <c r="E69" s="169" t="e">
        <f>#REF!*D69</f>
        <v>#REF!</v>
      </c>
      <c r="F69" s="169"/>
      <c r="G69" s="169"/>
      <c r="H69" s="113"/>
      <c r="I69" s="113"/>
      <c r="J69" s="113"/>
    </row>
    <row r="70" spans="1:10" hidden="1">
      <c r="A70" s="124"/>
      <c r="B70" s="725"/>
      <c r="C70" s="726"/>
      <c r="D70" s="125"/>
      <c r="E70" s="169" t="e">
        <f>#REF!*D70</f>
        <v>#REF!</v>
      </c>
      <c r="F70" s="169"/>
      <c r="G70" s="169"/>
      <c r="H70" s="113"/>
      <c r="I70" s="113"/>
      <c r="J70" s="113"/>
    </row>
    <row r="71" spans="1:10" hidden="1">
      <c r="A71" s="166"/>
      <c r="B71" s="727" t="s">
        <v>216</v>
      </c>
      <c r="C71" s="728"/>
      <c r="D71" s="167"/>
      <c r="E71" s="170" t="e">
        <f>SUM(E65:E70)</f>
        <v>#REF!</v>
      </c>
      <c r="F71" s="170">
        <f t="shared" ref="F71:G71" si="3">SUM(F65:F70)</f>
        <v>0</v>
      </c>
      <c r="G71" s="170">
        <f t="shared" si="3"/>
        <v>0</v>
      </c>
      <c r="H71" s="171"/>
      <c r="I71" s="171"/>
      <c r="J71" s="171"/>
    </row>
    <row r="72" spans="1:10" hidden="1">
      <c r="A72" s="18"/>
      <c r="B72" s="113"/>
      <c r="C72" s="113"/>
      <c r="D72" s="113"/>
      <c r="E72" s="113"/>
      <c r="F72" s="113"/>
      <c r="G72" s="113"/>
      <c r="H72" s="113"/>
      <c r="I72" s="113"/>
      <c r="J72" s="113"/>
    </row>
    <row r="73" spans="1:10" hidden="1">
      <c r="A73" s="67" t="s">
        <v>236</v>
      </c>
      <c r="B73" s="117"/>
      <c r="C73" s="117"/>
      <c r="D73" s="117"/>
      <c r="E73" s="117"/>
      <c r="F73" s="117"/>
      <c r="G73" s="117"/>
      <c r="H73" s="117"/>
      <c r="I73" s="117"/>
      <c r="J73" s="117"/>
    </row>
    <row r="74" spans="1:10" hidden="1">
      <c r="A74" s="18"/>
      <c r="B74" s="113"/>
      <c r="C74" s="113"/>
      <c r="D74" s="113"/>
      <c r="E74" s="113"/>
      <c r="F74" s="113"/>
      <c r="G74" s="113"/>
      <c r="H74" s="113"/>
      <c r="I74" s="113"/>
      <c r="J74" s="113"/>
    </row>
    <row r="75" spans="1:10" ht="72.75" hidden="1">
      <c r="A75" s="126" t="s">
        <v>218</v>
      </c>
      <c r="B75" s="733" t="s">
        <v>237</v>
      </c>
      <c r="C75" s="734"/>
      <c r="D75" s="120" t="s">
        <v>239</v>
      </c>
      <c r="E75" s="120" t="s">
        <v>485</v>
      </c>
      <c r="F75" s="120" t="s">
        <v>486</v>
      </c>
      <c r="G75" s="120" t="s">
        <v>487</v>
      </c>
      <c r="H75" s="113"/>
      <c r="I75" s="113"/>
      <c r="J75" s="113"/>
    </row>
    <row r="76" spans="1:10" hidden="1">
      <c r="A76" s="122">
        <v>1</v>
      </c>
      <c r="B76" s="725">
        <v>2</v>
      </c>
      <c r="C76" s="726"/>
      <c r="D76" s="122">
        <v>4</v>
      </c>
      <c r="E76" s="122">
        <v>5</v>
      </c>
      <c r="F76" s="122">
        <v>6</v>
      </c>
      <c r="G76" s="122">
        <v>7</v>
      </c>
      <c r="H76" s="113"/>
      <c r="I76" s="113"/>
      <c r="J76" s="113"/>
    </row>
    <row r="77" spans="1:10" hidden="1">
      <c r="A77" s="124">
        <v>1</v>
      </c>
      <c r="B77" s="756"/>
      <c r="C77" s="757"/>
      <c r="D77" s="174"/>
      <c r="E77" s="169"/>
      <c r="F77" s="169"/>
      <c r="G77" s="169"/>
      <c r="H77" s="113"/>
      <c r="I77" s="113"/>
      <c r="J77" s="113"/>
    </row>
    <row r="78" spans="1:10" hidden="1">
      <c r="A78" s="124">
        <v>2</v>
      </c>
      <c r="B78" s="756" t="s">
        <v>312</v>
      </c>
      <c r="C78" s="757"/>
      <c r="D78" s="174"/>
      <c r="E78" s="169" t="e">
        <f>ROUND(#REF!*D78,0)</f>
        <v>#REF!</v>
      </c>
      <c r="F78" s="169" t="e">
        <f>E78</f>
        <v>#REF!</v>
      </c>
      <c r="G78" s="169" t="e">
        <f>F78</f>
        <v>#REF!</v>
      </c>
      <c r="H78" s="113"/>
      <c r="I78" s="113"/>
      <c r="J78" s="113"/>
    </row>
    <row r="79" spans="1:10" hidden="1">
      <c r="A79" s="124"/>
      <c r="B79" s="725"/>
      <c r="C79" s="726"/>
      <c r="D79" s="125"/>
      <c r="E79" s="169"/>
      <c r="F79" s="169"/>
      <c r="G79" s="169"/>
      <c r="H79" s="113"/>
      <c r="I79" s="113"/>
      <c r="J79" s="113"/>
    </row>
    <row r="80" spans="1:10" hidden="1">
      <c r="A80" s="124"/>
      <c r="B80" s="725"/>
      <c r="C80" s="726"/>
      <c r="D80" s="125"/>
      <c r="E80" s="169"/>
      <c r="F80" s="169"/>
      <c r="G80" s="169"/>
      <c r="H80" s="113"/>
      <c r="I80" s="113"/>
      <c r="J80" s="113"/>
    </row>
    <row r="81" spans="1:10" hidden="1">
      <c r="A81" s="124"/>
      <c r="B81" s="725"/>
      <c r="C81" s="726"/>
      <c r="D81" s="125"/>
      <c r="E81" s="169"/>
      <c r="F81" s="169"/>
      <c r="G81" s="169"/>
      <c r="H81" s="113"/>
      <c r="I81" s="113"/>
      <c r="J81" s="113"/>
    </row>
    <row r="82" spans="1:10" hidden="1">
      <c r="A82" s="124"/>
      <c r="B82" s="725"/>
      <c r="C82" s="726"/>
      <c r="D82" s="125"/>
      <c r="E82" s="169"/>
      <c r="F82" s="169"/>
      <c r="G82" s="169"/>
      <c r="H82" s="113"/>
      <c r="I82" s="113"/>
      <c r="J82" s="113"/>
    </row>
    <row r="83" spans="1:10" hidden="1">
      <c r="A83" s="166"/>
      <c r="B83" s="727" t="s">
        <v>216</v>
      </c>
      <c r="C83" s="728"/>
      <c r="D83" s="167"/>
      <c r="E83" s="170" t="e">
        <f>SUM(E77:E82)</f>
        <v>#REF!</v>
      </c>
      <c r="F83" s="170" t="e">
        <f t="shared" ref="F83:G83" si="4">SUM(F77:F82)</f>
        <v>#REF!</v>
      </c>
      <c r="G83" s="170" t="e">
        <f t="shared" si="4"/>
        <v>#REF!</v>
      </c>
      <c r="H83" s="171"/>
      <c r="I83" s="171"/>
      <c r="J83" s="171"/>
    </row>
    <row r="84" spans="1:10" hidden="1">
      <c r="A84" s="18"/>
      <c r="B84" s="113"/>
      <c r="C84" s="113"/>
      <c r="D84" s="113"/>
      <c r="E84" s="113"/>
      <c r="F84" s="113"/>
      <c r="G84" s="113"/>
      <c r="H84" s="113"/>
      <c r="I84" s="113"/>
      <c r="J84" s="113"/>
    </row>
    <row r="85" spans="1:10" hidden="1">
      <c r="A85" s="758" t="s">
        <v>240</v>
      </c>
      <c r="B85" s="758"/>
      <c r="C85" s="758"/>
      <c r="D85" s="758"/>
      <c r="E85" s="758"/>
      <c r="F85" s="758"/>
      <c r="G85" s="758"/>
      <c r="H85" s="113"/>
      <c r="I85" s="113"/>
      <c r="J85" s="113"/>
    </row>
    <row r="86" spans="1:10" hidden="1">
      <c r="A86" s="18"/>
      <c r="B86" s="113"/>
      <c r="C86" s="113"/>
      <c r="D86" s="113"/>
      <c r="E86" s="113"/>
      <c r="F86" s="113"/>
      <c r="G86" s="113"/>
      <c r="H86" s="113"/>
      <c r="I86" s="113"/>
      <c r="J86" s="113"/>
    </row>
    <row r="87" spans="1:10" ht="48.75" hidden="1">
      <c r="A87" s="126" t="s">
        <v>218</v>
      </c>
      <c r="B87" s="733" t="s">
        <v>0</v>
      </c>
      <c r="C87" s="734"/>
      <c r="D87" s="120" t="s">
        <v>235</v>
      </c>
      <c r="E87" s="120" t="s">
        <v>242</v>
      </c>
      <c r="F87" s="120" t="s">
        <v>242</v>
      </c>
      <c r="G87" s="120" t="s">
        <v>242</v>
      </c>
      <c r="H87" s="113"/>
      <c r="I87" s="113"/>
      <c r="J87" s="113"/>
    </row>
    <row r="88" spans="1:10" hidden="1">
      <c r="A88" s="122">
        <v>1</v>
      </c>
      <c r="B88" s="725">
        <v>2</v>
      </c>
      <c r="C88" s="726"/>
      <c r="D88" s="122">
        <v>4</v>
      </c>
      <c r="E88" s="122">
        <v>5</v>
      </c>
      <c r="F88" s="122">
        <v>6</v>
      </c>
      <c r="G88" s="122">
        <v>7</v>
      </c>
      <c r="H88" s="113"/>
      <c r="I88" s="113"/>
      <c r="J88" s="113"/>
    </row>
    <row r="89" spans="1:10" hidden="1">
      <c r="A89" s="124"/>
      <c r="B89" s="725"/>
      <c r="C89" s="726"/>
      <c r="D89" s="125"/>
      <c r="E89" s="125"/>
      <c r="F89" s="125"/>
      <c r="G89" s="125"/>
      <c r="H89" s="113"/>
      <c r="I89" s="113"/>
      <c r="J89" s="113"/>
    </row>
    <row r="90" spans="1:10" hidden="1">
      <c r="A90" s="124"/>
      <c r="B90" s="725"/>
      <c r="C90" s="726"/>
      <c r="D90" s="125"/>
      <c r="E90" s="125"/>
      <c r="F90" s="125"/>
      <c r="G90" s="125"/>
      <c r="H90" s="113"/>
      <c r="I90" s="113"/>
      <c r="J90" s="113"/>
    </row>
    <row r="91" spans="1:10" hidden="1">
      <c r="A91" s="124"/>
      <c r="B91" s="725"/>
      <c r="C91" s="726"/>
      <c r="D91" s="125"/>
      <c r="E91" s="125"/>
      <c r="F91" s="125"/>
      <c r="G91" s="125"/>
      <c r="H91" s="113"/>
      <c r="I91" s="113"/>
      <c r="J91" s="113"/>
    </row>
    <row r="92" spans="1:10" hidden="1">
      <c r="A92" s="124"/>
      <c r="B92" s="725"/>
      <c r="C92" s="726"/>
      <c r="D92" s="125"/>
      <c r="E92" s="125"/>
      <c r="F92" s="125"/>
      <c r="G92" s="125"/>
      <c r="H92" s="113"/>
      <c r="I92" s="113"/>
      <c r="J92" s="113"/>
    </row>
    <row r="93" spans="1:10" hidden="1">
      <c r="A93" s="124"/>
      <c r="B93" s="725"/>
      <c r="C93" s="726"/>
      <c r="D93" s="125"/>
      <c r="E93" s="125"/>
      <c r="F93" s="125"/>
      <c r="G93" s="125"/>
      <c r="H93" s="113"/>
      <c r="I93" s="113"/>
      <c r="J93" s="113"/>
    </row>
    <row r="94" spans="1:10" hidden="1">
      <c r="A94" s="124"/>
      <c r="B94" s="725"/>
      <c r="C94" s="726"/>
      <c r="D94" s="125"/>
      <c r="E94" s="125"/>
      <c r="F94" s="125"/>
      <c r="G94" s="125"/>
      <c r="H94" s="113"/>
      <c r="I94" s="113"/>
      <c r="J94" s="113"/>
    </row>
    <row r="95" spans="1:10" hidden="1">
      <c r="A95" s="124"/>
      <c r="B95" s="725" t="s">
        <v>216</v>
      </c>
      <c r="C95" s="726"/>
      <c r="D95" s="125"/>
      <c r="E95" s="125"/>
      <c r="F95" s="125"/>
      <c r="G95" s="125"/>
      <c r="H95" s="113"/>
      <c r="I95" s="113"/>
      <c r="J95" s="113"/>
    </row>
    <row r="96" spans="1:10" hidden="1">
      <c r="A96" s="18"/>
      <c r="B96" s="113"/>
      <c r="C96" s="113"/>
      <c r="D96" s="113"/>
      <c r="E96" s="113"/>
      <c r="F96" s="113"/>
      <c r="G96" s="113"/>
      <c r="H96" s="113"/>
      <c r="I96" s="113"/>
      <c r="J96" s="113"/>
    </row>
    <row r="97" spans="1:10" hidden="1">
      <c r="A97" s="67" t="s">
        <v>243</v>
      </c>
      <c r="B97" s="117"/>
      <c r="C97" s="117"/>
      <c r="D97" s="117"/>
      <c r="E97" s="117"/>
      <c r="F97" s="117"/>
      <c r="G97" s="117"/>
      <c r="H97" s="117"/>
      <c r="I97" s="117"/>
      <c r="J97" s="117"/>
    </row>
    <row r="98" spans="1:10" hidden="1">
      <c r="A98" s="67" t="s">
        <v>244</v>
      </c>
      <c r="B98" s="117"/>
      <c r="C98" s="117"/>
      <c r="D98" s="117"/>
      <c r="E98" s="117"/>
      <c r="F98" s="117"/>
      <c r="G98" s="117"/>
      <c r="H98" s="117"/>
      <c r="I98" s="117"/>
      <c r="J98" s="117"/>
    </row>
    <row r="99" spans="1:10" hidden="1">
      <c r="A99" s="18"/>
      <c r="B99" s="113"/>
      <c r="C99" s="113"/>
      <c r="D99" s="113"/>
      <c r="E99" s="113"/>
      <c r="F99" s="113"/>
      <c r="G99" s="113"/>
      <c r="H99" s="113"/>
      <c r="I99" s="113"/>
      <c r="J99" s="113"/>
    </row>
    <row r="100" spans="1:10" ht="36.75" hidden="1">
      <c r="A100" s="126" t="s">
        <v>218</v>
      </c>
      <c r="B100" s="733" t="s">
        <v>313</v>
      </c>
      <c r="C100" s="734"/>
      <c r="D100" s="120" t="s">
        <v>246</v>
      </c>
      <c r="E100" s="120" t="s">
        <v>247</v>
      </c>
      <c r="F100" s="120" t="s">
        <v>484</v>
      </c>
      <c r="G100" s="120" t="s">
        <v>303</v>
      </c>
      <c r="H100" s="120" t="s">
        <v>304</v>
      </c>
      <c r="I100" s="113"/>
      <c r="J100" s="113"/>
    </row>
    <row r="101" spans="1:10" hidden="1">
      <c r="A101" s="122">
        <v>1</v>
      </c>
      <c r="B101" s="725">
        <v>2</v>
      </c>
      <c r="C101" s="726"/>
      <c r="D101" s="122">
        <v>4</v>
      </c>
      <c r="E101" s="122">
        <v>5</v>
      </c>
      <c r="F101" s="122">
        <v>6</v>
      </c>
      <c r="G101" s="122">
        <v>7</v>
      </c>
      <c r="H101" s="122">
        <v>8</v>
      </c>
      <c r="I101" s="113"/>
      <c r="J101" s="113"/>
    </row>
    <row r="102" spans="1:10" hidden="1">
      <c r="A102" s="124"/>
      <c r="B102" s="756" t="s">
        <v>504</v>
      </c>
      <c r="C102" s="757"/>
      <c r="D102" s="125"/>
      <c r="E102" s="125"/>
      <c r="F102" s="169"/>
      <c r="G102" s="169"/>
      <c r="H102" s="169"/>
      <c r="I102" s="113"/>
      <c r="J102" s="113"/>
    </row>
    <row r="103" spans="1:10" hidden="1">
      <c r="A103" s="124"/>
      <c r="B103" s="334" t="s">
        <v>316</v>
      </c>
      <c r="C103" s="335"/>
      <c r="D103" s="125"/>
      <c r="E103" s="125"/>
      <c r="F103" s="169"/>
      <c r="G103" s="169"/>
      <c r="H103" s="169"/>
      <c r="I103" s="113"/>
      <c r="J103" s="113"/>
    </row>
    <row r="104" spans="1:10" hidden="1">
      <c r="A104" s="124"/>
      <c r="B104" s="725"/>
      <c r="C104" s="726"/>
      <c r="D104" s="125"/>
      <c r="E104" s="125"/>
      <c r="F104" s="169"/>
      <c r="G104" s="169"/>
      <c r="H104" s="169"/>
      <c r="I104" s="113"/>
      <c r="J104" s="113"/>
    </row>
    <row r="105" spans="1:10" hidden="1">
      <c r="A105" s="124"/>
      <c r="B105" s="725"/>
      <c r="C105" s="726"/>
      <c r="D105" s="125"/>
      <c r="E105" s="125"/>
      <c r="F105" s="169"/>
      <c r="G105" s="169"/>
      <c r="H105" s="169"/>
      <c r="I105" s="113"/>
      <c r="J105" s="113"/>
    </row>
    <row r="106" spans="1:10" hidden="1">
      <c r="A106" s="166"/>
      <c r="B106" s="727" t="s">
        <v>216</v>
      </c>
      <c r="C106" s="728"/>
      <c r="D106" s="167"/>
      <c r="E106" s="167"/>
      <c r="F106" s="170">
        <f>ROUND(SUM(F102:F105),0)</f>
        <v>0</v>
      </c>
      <c r="G106" s="170">
        <f t="shared" ref="G106:H106" si="5">ROUND(SUM(G102:G105),0)</f>
        <v>0</v>
      </c>
      <c r="H106" s="170">
        <f t="shared" si="5"/>
        <v>0</v>
      </c>
      <c r="I106" s="171"/>
      <c r="J106" s="171"/>
    </row>
    <row r="107" spans="1:10" hidden="1">
      <c r="A107" s="18"/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1:10" hidden="1">
      <c r="A108" s="67" t="s">
        <v>248</v>
      </c>
      <c r="B108" s="117"/>
      <c r="C108" s="117"/>
      <c r="D108" s="117"/>
      <c r="E108" s="117"/>
      <c r="F108" s="117"/>
      <c r="G108" s="117"/>
      <c r="H108" s="117"/>
      <c r="I108" s="117"/>
      <c r="J108" s="117"/>
    </row>
    <row r="109" spans="1:10" hidden="1">
      <c r="A109" s="18"/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1:10" ht="48.75" hidden="1">
      <c r="A110" s="126" t="s">
        <v>218</v>
      </c>
      <c r="B110" s="733" t="s">
        <v>237</v>
      </c>
      <c r="C110" s="734"/>
      <c r="D110" s="120" t="s">
        <v>250</v>
      </c>
      <c r="E110" s="120" t="s">
        <v>484</v>
      </c>
      <c r="F110" s="120" t="s">
        <v>303</v>
      </c>
      <c r="G110" s="120" t="s">
        <v>304</v>
      </c>
      <c r="H110" s="113"/>
      <c r="I110" s="113"/>
      <c r="J110" s="113"/>
    </row>
    <row r="111" spans="1:10" hidden="1">
      <c r="A111" s="122">
        <v>1</v>
      </c>
      <c r="B111" s="725">
        <v>2</v>
      </c>
      <c r="C111" s="726"/>
      <c r="D111" s="122">
        <v>4</v>
      </c>
      <c r="E111" s="122">
        <v>5</v>
      </c>
      <c r="F111" s="122">
        <v>6</v>
      </c>
      <c r="G111" s="122">
        <v>7</v>
      </c>
      <c r="H111" s="113"/>
      <c r="I111" s="113"/>
      <c r="J111" s="113"/>
    </row>
    <row r="112" spans="1:10" hidden="1">
      <c r="A112" s="124">
        <v>1</v>
      </c>
      <c r="B112" s="725"/>
      <c r="C112" s="726"/>
      <c r="D112" s="125"/>
      <c r="E112" s="125" t="e">
        <f>#REF!*D112</f>
        <v>#REF!</v>
      </c>
      <c r="F112" s="125"/>
      <c r="G112" s="125"/>
      <c r="H112" s="113"/>
      <c r="I112" s="113"/>
      <c r="J112" s="113"/>
    </row>
    <row r="113" spans="1:10" hidden="1">
      <c r="A113" s="124"/>
      <c r="B113" s="725"/>
      <c r="C113" s="726"/>
      <c r="D113" s="125"/>
      <c r="E113" s="125" t="e">
        <f>#REF!*D113</f>
        <v>#REF!</v>
      </c>
      <c r="F113" s="125"/>
      <c r="G113" s="125"/>
      <c r="H113" s="113"/>
      <c r="I113" s="113"/>
      <c r="J113" s="113"/>
    </row>
    <row r="114" spans="1:10" hidden="1">
      <c r="A114" s="124"/>
      <c r="B114" s="725"/>
      <c r="C114" s="726"/>
      <c r="D114" s="125"/>
      <c r="E114" s="125" t="e">
        <f>#REF!*D114</f>
        <v>#REF!</v>
      </c>
      <c r="F114" s="125"/>
      <c r="G114" s="125"/>
      <c r="H114" s="113"/>
      <c r="I114" s="113"/>
      <c r="J114" s="113"/>
    </row>
    <row r="115" spans="1:10" hidden="1">
      <c r="A115" s="124"/>
      <c r="B115" s="725"/>
      <c r="C115" s="726"/>
      <c r="D115" s="125"/>
      <c r="E115" s="125" t="e">
        <f>#REF!*D115</f>
        <v>#REF!</v>
      </c>
      <c r="F115" s="125"/>
      <c r="G115" s="125"/>
      <c r="H115" s="113"/>
      <c r="I115" s="113"/>
      <c r="J115" s="113"/>
    </row>
    <row r="116" spans="1:10" hidden="1">
      <c r="A116" s="124"/>
      <c r="B116" s="725"/>
      <c r="C116" s="726"/>
      <c r="D116" s="125"/>
      <c r="E116" s="125" t="e">
        <f>#REF!*D116</f>
        <v>#REF!</v>
      </c>
      <c r="F116" s="125"/>
      <c r="G116" s="125"/>
      <c r="H116" s="113"/>
      <c r="I116" s="113"/>
      <c r="J116" s="113"/>
    </row>
    <row r="117" spans="1:10" hidden="1">
      <c r="A117" s="124"/>
      <c r="B117" s="725"/>
      <c r="C117" s="726"/>
      <c r="D117" s="125"/>
      <c r="E117" s="125" t="e">
        <f>#REF!*D117</f>
        <v>#REF!</v>
      </c>
      <c r="F117" s="125"/>
      <c r="G117" s="125"/>
      <c r="H117" s="113"/>
      <c r="I117" s="113"/>
      <c r="J117" s="113"/>
    </row>
    <row r="118" spans="1:10" hidden="1">
      <c r="A118" s="166"/>
      <c r="B118" s="727" t="s">
        <v>216</v>
      </c>
      <c r="C118" s="728"/>
      <c r="D118" s="167"/>
      <c r="E118" s="167" t="e">
        <f>SUM(E112:E117)</f>
        <v>#REF!</v>
      </c>
      <c r="F118" s="167">
        <f t="shared" ref="F118:G118" si="6">SUM(F112:F117)</f>
        <v>0</v>
      </c>
      <c r="G118" s="167">
        <f t="shared" si="6"/>
        <v>0</v>
      </c>
      <c r="H118" s="171"/>
      <c r="I118" s="171"/>
      <c r="J118" s="171"/>
    </row>
    <row r="119" spans="1:10" hidden="1">
      <c r="A119" s="18"/>
      <c r="B119" s="113"/>
      <c r="C119" s="113"/>
      <c r="D119" s="113"/>
      <c r="E119" s="113"/>
      <c r="F119" s="113"/>
      <c r="G119" s="113"/>
      <c r="H119" s="113"/>
      <c r="I119" s="113"/>
      <c r="J119" s="113"/>
    </row>
    <row r="120" spans="1:10" hidden="1">
      <c r="A120" s="67" t="s">
        <v>251</v>
      </c>
      <c r="B120" s="117"/>
      <c r="C120" s="117"/>
      <c r="D120" s="117"/>
      <c r="E120" s="117"/>
      <c r="F120" s="117"/>
      <c r="G120" s="117"/>
      <c r="H120" s="117"/>
      <c r="I120" s="117"/>
      <c r="J120" s="117"/>
    </row>
    <row r="121" spans="1:10" hidden="1">
      <c r="A121" s="18"/>
      <c r="B121" s="113"/>
      <c r="C121" s="113"/>
      <c r="D121" s="113"/>
      <c r="E121" s="113"/>
      <c r="F121" s="113"/>
      <c r="G121" s="113"/>
      <c r="H121" s="113"/>
      <c r="I121" s="113"/>
      <c r="J121" s="113"/>
    </row>
    <row r="122" spans="1:10" ht="48.75" hidden="1">
      <c r="A122" s="126" t="s">
        <v>218</v>
      </c>
      <c r="B122" s="733" t="s">
        <v>0</v>
      </c>
      <c r="C122" s="734"/>
      <c r="D122" s="120" t="s">
        <v>253</v>
      </c>
      <c r="E122" s="120" t="s">
        <v>254</v>
      </c>
      <c r="F122" s="120" t="s">
        <v>484</v>
      </c>
      <c r="G122" s="120" t="s">
        <v>303</v>
      </c>
      <c r="H122" s="120" t="s">
        <v>304</v>
      </c>
      <c r="I122" s="113"/>
      <c r="J122" s="113"/>
    </row>
    <row r="123" spans="1:10" hidden="1">
      <c r="A123" s="122">
        <v>1</v>
      </c>
      <c r="B123" s="725">
        <v>2</v>
      </c>
      <c r="C123" s="726"/>
      <c r="D123" s="122">
        <v>4</v>
      </c>
      <c r="E123" s="122">
        <v>5</v>
      </c>
      <c r="F123" s="122">
        <v>6</v>
      </c>
      <c r="G123" s="122">
        <v>7</v>
      </c>
      <c r="H123" s="122">
        <v>8</v>
      </c>
      <c r="I123" s="113"/>
      <c r="J123" s="113"/>
    </row>
    <row r="124" spans="1:10" hidden="1">
      <c r="A124" s="124"/>
      <c r="B124" s="750"/>
      <c r="C124" s="751"/>
      <c r="D124" s="125"/>
      <c r="E124" s="125"/>
      <c r="F124" s="343"/>
      <c r="G124" s="343"/>
      <c r="H124" s="343"/>
      <c r="I124" s="113"/>
      <c r="J124" s="113"/>
    </row>
    <row r="125" spans="1:10" hidden="1">
      <c r="A125" s="124"/>
      <c r="B125" s="748"/>
      <c r="C125" s="749"/>
      <c r="D125" s="125"/>
      <c r="E125" s="125"/>
      <c r="F125" s="343"/>
      <c r="G125" s="343"/>
      <c r="H125" s="343"/>
      <c r="I125" s="113"/>
      <c r="J125" s="113"/>
    </row>
    <row r="126" spans="1:10" hidden="1">
      <c r="A126" s="124"/>
      <c r="B126" s="750"/>
      <c r="C126" s="751"/>
      <c r="D126" s="346"/>
      <c r="E126" s="125"/>
      <c r="F126" s="343"/>
      <c r="G126" s="343"/>
      <c r="H126" s="343"/>
      <c r="I126" s="113"/>
      <c r="J126" s="113"/>
    </row>
    <row r="127" spans="1:10" hidden="1">
      <c r="A127" s="124"/>
      <c r="B127" s="748"/>
      <c r="C127" s="772"/>
      <c r="D127" s="773"/>
      <c r="E127" s="774"/>
      <c r="F127" s="343"/>
      <c r="G127" s="343"/>
      <c r="H127" s="343"/>
      <c r="I127" s="113"/>
      <c r="J127" s="113"/>
    </row>
    <row r="128" spans="1:10" hidden="1">
      <c r="A128" s="124"/>
      <c r="B128" s="750"/>
      <c r="C128" s="751"/>
      <c r="D128" s="125"/>
      <c r="E128" s="125"/>
      <c r="F128" s="343"/>
      <c r="G128" s="343"/>
      <c r="H128" s="343"/>
      <c r="I128" s="113"/>
      <c r="J128" s="113"/>
    </row>
    <row r="129" spans="1:10" hidden="1">
      <c r="A129" s="124"/>
      <c r="B129" s="363"/>
      <c r="C129" s="364"/>
      <c r="D129" s="125"/>
      <c r="E129" s="125"/>
      <c r="F129" s="343"/>
      <c r="G129" s="343"/>
      <c r="H129" s="343"/>
      <c r="I129" s="113"/>
      <c r="J129" s="113"/>
    </row>
    <row r="130" spans="1:10" hidden="1">
      <c r="A130" s="124"/>
      <c r="B130" s="775"/>
      <c r="C130" s="751"/>
      <c r="D130" s="125"/>
      <c r="E130" s="125"/>
      <c r="F130" s="343"/>
      <c r="G130" s="343"/>
      <c r="H130" s="343"/>
      <c r="I130" s="113"/>
      <c r="J130" s="113"/>
    </row>
    <row r="131" spans="1:10" hidden="1">
      <c r="A131" s="124"/>
      <c r="B131" s="365"/>
      <c r="C131" s="366"/>
      <c r="D131" s="125"/>
      <c r="E131" s="125"/>
      <c r="F131" s="343"/>
      <c r="G131" s="343"/>
      <c r="H131" s="343"/>
      <c r="I131" s="113"/>
      <c r="J131" s="113"/>
    </row>
    <row r="132" spans="1:10" hidden="1">
      <c r="A132" s="166"/>
      <c r="B132" s="727" t="s">
        <v>216</v>
      </c>
      <c r="C132" s="728"/>
      <c r="D132" s="167"/>
      <c r="E132" s="167"/>
      <c r="F132" s="367">
        <f>SUM(F124:F131)</f>
        <v>0</v>
      </c>
      <c r="G132" s="367">
        <f>SUM(G124:G131)</f>
        <v>0</v>
      </c>
      <c r="H132" s="367">
        <f>SUM(H124:H131)</f>
        <v>0</v>
      </c>
      <c r="I132" s="171"/>
      <c r="J132" s="171"/>
    </row>
    <row r="133" spans="1:10" hidden="1">
      <c r="A133" s="18"/>
      <c r="B133" s="113"/>
      <c r="C133" s="113"/>
      <c r="D133" s="113"/>
      <c r="E133" s="113"/>
      <c r="F133" s="368"/>
      <c r="G133" s="368"/>
      <c r="H133" s="368"/>
      <c r="I133" s="113"/>
      <c r="J133" s="113"/>
    </row>
    <row r="134" spans="1:10" hidden="1">
      <c r="A134" s="67" t="s">
        <v>255</v>
      </c>
      <c r="B134" s="117"/>
      <c r="C134" s="117"/>
      <c r="D134" s="117"/>
      <c r="E134" s="117"/>
      <c r="F134" s="362"/>
      <c r="G134" s="362"/>
      <c r="H134" s="362"/>
      <c r="I134" s="117"/>
      <c r="J134" s="117"/>
    </row>
    <row r="135" spans="1:10" hidden="1">
      <c r="A135" s="18"/>
      <c r="B135" s="113"/>
      <c r="C135" s="113"/>
      <c r="D135" s="113"/>
      <c r="E135" s="113"/>
      <c r="F135" s="113"/>
      <c r="G135" s="113"/>
      <c r="H135" s="113"/>
      <c r="I135" s="113"/>
      <c r="J135" s="113"/>
    </row>
    <row r="136" spans="1:10" ht="48.75" hidden="1">
      <c r="A136" s="126" t="s">
        <v>218</v>
      </c>
      <c r="B136" s="733" t="s">
        <v>0</v>
      </c>
      <c r="C136" s="734"/>
      <c r="D136" s="120" t="s">
        <v>257</v>
      </c>
      <c r="E136" s="120" t="s">
        <v>258</v>
      </c>
      <c r="F136" s="120" t="s">
        <v>258</v>
      </c>
      <c r="G136" s="120" t="s">
        <v>258</v>
      </c>
      <c r="H136" s="113"/>
      <c r="I136" s="113"/>
      <c r="J136" s="113"/>
    </row>
    <row r="137" spans="1:10" hidden="1">
      <c r="A137" s="122">
        <v>1</v>
      </c>
      <c r="B137" s="725">
        <v>2</v>
      </c>
      <c r="C137" s="726"/>
      <c r="D137" s="122">
        <v>4</v>
      </c>
      <c r="E137" s="122">
        <v>5</v>
      </c>
      <c r="F137" s="122">
        <v>6</v>
      </c>
      <c r="G137" s="122">
        <v>7</v>
      </c>
      <c r="H137" s="113"/>
      <c r="I137" s="113"/>
      <c r="J137" s="113"/>
    </row>
    <row r="138" spans="1:10" hidden="1">
      <c r="A138" s="124"/>
      <c r="B138" s="725"/>
      <c r="C138" s="726"/>
      <c r="D138" s="125"/>
      <c r="E138" s="125"/>
      <c r="F138" s="125"/>
      <c r="G138" s="125"/>
      <c r="H138" s="113"/>
      <c r="I138" s="113"/>
      <c r="J138" s="113"/>
    </row>
    <row r="139" spans="1:10" hidden="1">
      <c r="A139" s="124"/>
      <c r="B139" s="725"/>
      <c r="C139" s="726"/>
      <c r="D139" s="125"/>
      <c r="E139" s="125"/>
      <c r="F139" s="125"/>
      <c r="G139" s="125"/>
      <c r="H139" s="113"/>
      <c r="I139" s="113"/>
      <c r="J139" s="113"/>
    </row>
    <row r="140" spans="1:10" hidden="1">
      <c r="A140" s="124"/>
      <c r="B140" s="725"/>
      <c r="C140" s="726"/>
      <c r="D140" s="125"/>
      <c r="E140" s="125"/>
      <c r="F140" s="125"/>
      <c r="G140" s="125"/>
      <c r="H140" s="113"/>
      <c r="I140" s="113"/>
      <c r="J140" s="113"/>
    </row>
    <row r="141" spans="1:10" hidden="1">
      <c r="A141" s="124"/>
      <c r="B141" s="725"/>
      <c r="C141" s="726"/>
      <c r="D141" s="125"/>
      <c r="E141" s="125"/>
      <c r="F141" s="125"/>
      <c r="G141" s="125"/>
      <c r="H141" s="113"/>
      <c r="I141" s="113"/>
      <c r="J141" s="113"/>
    </row>
    <row r="142" spans="1:10" hidden="1">
      <c r="A142" s="124"/>
      <c r="B142" s="725"/>
      <c r="C142" s="726"/>
      <c r="D142" s="125"/>
      <c r="E142" s="125"/>
      <c r="F142" s="125"/>
      <c r="G142" s="125"/>
      <c r="H142" s="113"/>
      <c r="I142" s="113"/>
      <c r="J142" s="113"/>
    </row>
    <row r="143" spans="1:10" hidden="1">
      <c r="A143" s="124"/>
      <c r="B143" s="725"/>
      <c r="C143" s="726"/>
      <c r="D143" s="125"/>
      <c r="E143" s="125"/>
      <c r="F143" s="125"/>
      <c r="G143" s="125"/>
      <c r="H143" s="113"/>
      <c r="I143" s="113"/>
      <c r="J143" s="113"/>
    </row>
    <row r="144" spans="1:10" hidden="1">
      <c r="A144" s="166"/>
      <c r="B144" s="727" t="s">
        <v>216</v>
      </c>
      <c r="C144" s="728"/>
      <c r="D144" s="167"/>
      <c r="E144" s="167">
        <f>SUM(E138:E143)</f>
        <v>0</v>
      </c>
      <c r="F144" s="167">
        <f t="shared" ref="F144:G144" si="7">SUM(F138:F143)</f>
        <v>0</v>
      </c>
      <c r="G144" s="167">
        <f t="shared" si="7"/>
        <v>0</v>
      </c>
      <c r="H144" s="171"/>
      <c r="I144" s="171"/>
      <c r="J144" s="171"/>
    </row>
    <row r="145" spans="1:10" hidden="1">
      <c r="A145" s="18"/>
      <c r="B145" s="113"/>
      <c r="C145" s="113"/>
      <c r="D145" s="113"/>
      <c r="E145" s="113"/>
      <c r="F145" s="113"/>
      <c r="G145" s="113"/>
      <c r="H145" s="113"/>
      <c r="I145" s="113"/>
      <c r="J145" s="113"/>
    </row>
    <row r="146" spans="1:10" hidden="1">
      <c r="A146" s="67" t="s">
        <v>259</v>
      </c>
      <c r="B146" s="117"/>
      <c r="C146" s="117"/>
      <c r="D146" s="117"/>
      <c r="E146" s="117"/>
      <c r="F146" s="117"/>
      <c r="G146" s="117"/>
      <c r="H146" s="117"/>
      <c r="I146" s="117"/>
      <c r="J146" s="117"/>
    </row>
    <row r="147" spans="1:10" hidden="1">
      <c r="A147" s="18"/>
      <c r="B147" s="113"/>
      <c r="C147" s="113"/>
      <c r="D147" s="113"/>
      <c r="E147" s="113"/>
      <c r="F147" s="113"/>
      <c r="G147" s="113"/>
      <c r="H147" s="113"/>
      <c r="I147" s="113"/>
      <c r="J147" s="113"/>
    </row>
    <row r="148" spans="1:10" ht="36.75" hidden="1">
      <c r="A148" s="126" t="s">
        <v>218</v>
      </c>
      <c r="B148" s="733" t="s">
        <v>0</v>
      </c>
      <c r="C148" s="734"/>
      <c r="D148" s="120" t="s">
        <v>261</v>
      </c>
      <c r="E148" s="120" t="s">
        <v>484</v>
      </c>
      <c r="F148" s="120" t="s">
        <v>303</v>
      </c>
      <c r="G148" s="120" t="s">
        <v>304</v>
      </c>
      <c r="H148" s="113"/>
      <c r="I148" s="113"/>
      <c r="J148" s="113"/>
    </row>
    <row r="149" spans="1:10" hidden="1">
      <c r="A149" s="122">
        <v>1</v>
      </c>
      <c r="B149" s="725">
        <v>2</v>
      </c>
      <c r="C149" s="726"/>
      <c r="D149" s="122">
        <v>4</v>
      </c>
      <c r="E149" s="122">
        <v>5</v>
      </c>
      <c r="F149" s="122">
        <v>6</v>
      </c>
      <c r="G149" s="122">
        <v>7</v>
      </c>
      <c r="H149" s="113"/>
      <c r="I149" s="113"/>
      <c r="J149" s="113"/>
    </row>
    <row r="150" spans="1:10" hidden="1">
      <c r="A150" s="369"/>
      <c r="B150" s="744"/>
      <c r="C150" s="745"/>
      <c r="D150" s="125"/>
      <c r="E150" s="125"/>
      <c r="F150" s="125"/>
      <c r="G150" s="125"/>
      <c r="H150" s="113"/>
      <c r="I150" s="113"/>
      <c r="J150" s="113"/>
    </row>
    <row r="151" spans="1:10" hidden="1">
      <c r="A151" s="124"/>
      <c r="B151" s="739"/>
      <c r="C151" s="740"/>
      <c r="D151" s="125"/>
      <c r="E151" s="125"/>
      <c r="F151" s="125"/>
      <c r="G151" s="125"/>
      <c r="H151" s="113"/>
      <c r="I151" s="113"/>
      <c r="J151" s="113"/>
    </row>
    <row r="152" spans="1:10" hidden="1">
      <c r="A152" s="369"/>
      <c r="B152" s="744"/>
      <c r="C152" s="741"/>
      <c r="D152" s="125"/>
      <c r="E152" s="125"/>
      <c r="F152" s="125"/>
      <c r="G152" s="125"/>
      <c r="H152" s="113"/>
      <c r="I152" s="113"/>
      <c r="J152" s="113"/>
    </row>
    <row r="153" spans="1:10" hidden="1">
      <c r="A153" s="124"/>
      <c r="B153" s="739"/>
      <c r="C153" s="740"/>
      <c r="D153" s="125"/>
      <c r="E153" s="125"/>
      <c r="F153" s="125"/>
      <c r="G153" s="125"/>
      <c r="H153" s="113"/>
      <c r="I153" s="113"/>
      <c r="J153" s="113"/>
    </row>
    <row r="154" spans="1:10" hidden="1">
      <c r="A154" s="369"/>
      <c r="B154" s="744"/>
      <c r="C154" s="746"/>
      <c r="D154" s="125"/>
      <c r="E154" s="125"/>
      <c r="F154" s="125"/>
      <c r="G154" s="125"/>
      <c r="H154" s="113"/>
      <c r="I154" s="113"/>
      <c r="J154" s="113"/>
    </row>
    <row r="155" spans="1:10" hidden="1">
      <c r="A155" s="124"/>
      <c r="B155" s="350"/>
      <c r="C155" s="351"/>
      <c r="D155" s="125"/>
      <c r="E155" s="125"/>
      <c r="F155" s="125"/>
      <c r="G155" s="125"/>
      <c r="H155" s="113"/>
      <c r="I155" s="113"/>
      <c r="J155" s="113"/>
    </row>
    <row r="156" spans="1:10" hidden="1">
      <c r="A156" s="124"/>
      <c r="B156" s="350"/>
      <c r="C156" s="351"/>
      <c r="D156" s="125"/>
      <c r="E156" s="125"/>
      <c r="F156" s="125"/>
      <c r="G156" s="125"/>
      <c r="H156" s="113"/>
      <c r="I156" s="113"/>
      <c r="J156" s="113"/>
    </row>
    <row r="157" spans="1:10" hidden="1">
      <c r="A157" s="369"/>
      <c r="B157" s="744"/>
      <c r="C157" s="746"/>
      <c r="D157" s="125"/>
      <c r="E157" s="125"/>
      <c r="F157" s="125"/>
      <c r="G157" s="125"/>
      <c r="H157" s="113"/>
      <c r="I157" s="113"/>
      <c r="J157" s="113"/>
    </row>
    <row r="158" spans="1:10" hidden="1">
      <c r="A158" s="124"/>
      <c r="B158" s="350"/>
      <c r="C158" s="351"/>
      <c r="D158" s="125"/>
      <c r="E158" s="125"/>
      <c r="F158" s="125"/>
      <c r="G158" s="125"/>
      <c r="H158" s="113"/>
      <c r="I158" s="113"/>
      <c r="J158" s="113"/>
    </row>
    <row r="159" spans="1:10" hidden="1">
      <c r="A159" s="369"/>
      <c r="B159" s="744"/>
      <c r="C159" s="746"/>
      <c r="D159" s="125"/>
      <c r="E159" s="125"/>
      <c r="F159" s="125"/>
      <c r="G159" s="125"/>
      <c r="H159" s="113"/>
      <c r="I159" s="113"/>
      <c r="J159" s="113"/>
    </row>
    <row r="160" spans="1:10" hidden="1">
      <c r="A160" s="124"/>
      <c r="B160" s="350"/>
      <c r="C160" s="351"/>
      <c r="D160" s="125"/>
      <c r="E160" s="125"/>
      <c r="F160" s="125"/>
      <c r="G160" s="125"/>
      <c r="H160" s="113"/>
      <c r="I160" s="113"/>
      <c r="J160" s="113"/>
    </row>
    <row r="161" spans="1:10" hidden="1">
      <c r="A161" s="369"/>
      <c r="B161" s="744"/>
      <c r="C161" s="746"/>
      <c r="D161" s="125"/>
      <c r="E161" s="125"/>
      <c r="F161" s="125"/>
      <c r="G161" s="125"/>
      <c r="H161" s="113"/>
      <c r="I161" s="113"/>
      <c r="J161" s="113"/>
    </row>
    <row r="162" spans="1:10" hidden="1">
      <c r="A162" s="124"/>
      <c r="B162" s="350"/>
      <c r="C162" s="351"/>
      <c r="D162" s="125"/>
      <c r="E162" s="125"/>
      <c r="F162" s="125"/>
      <c r="G162" s="125"/>
      <c r="H162" s="113"/>
      <c r="I162" s="113"/>
      <c r="J162" s="113"/>
    </row>
    <row r="163" spans="1:10" hidden="1">
      <c r="A163" s="124"/>
      <c r="B163" s="350"/>
      <c r="C163" s="351"/>
      <c r="D163" s="125"/>
      <c r="E163" s="125"/>
      <c r="F163" s="125"/>
      <c r="G163" s="125"/>
      <c r="H163" s="113"/>
      <c r="I163" s="113"/>
      <c r="J163" s="113"/>
    </row>
    <row r="164" spans="1:10" hidden="1">
      <c r="A164" s="369"/>
      <c r="B164" s="744"/>
      <c r="C164" s="745"/>
      <c r="D164" s="125"/>
      <c r="E164" s="125"/>
      <c r="F164" s="125"/>
      <c r="G164" s="125"/>
      <c r="H164" s="113"/>
      <c r="I164" s="113"/>
      <c r="J164" s="113"/>
    </row>
    <row r="165" spans="1:10" hidden="1">
      <c r="A165" s="124"/>
      <c r="B165" s="739"/>
      <c r="C165" s="740"/>
      <c r="D165" s="125"/>
      <c r="E165" s="125"/>
      <c r="F165" s="125"/>
      <c r="G165" s="125"/>
      <c r="H165" s="113"/>
      <c r="I165" s="113"/>
      <c r="J165" s="113"/>
    </row>
    <row r="166" spans="1:10" hidden="1">
      <c r="A166" s="369"/>
      <c r="B166" s="744"/>
      <c r="C166" s="745"/>
      <c r="D166" s="125"/>
      <c r="E166" s="125"/>
      <c r="F166" s="125"/>
      <c r="G166" s="125"/>
      <c r="H166" s="113"/>
      <c r="I166" s="113"/>
      <c r="J166" s="113"/>
    </row>
    <row r="167" spans="1:10" hidden="1">
      <c r="A167" s="124"/>
      <c r="B167" s="739"/>
      <c r="C167" s="740"/>
      <c r="D167" s="125"/>
      <c r="E167" s="125"/>
      <c r="F167" s="125"/>
      <c r="G167" s="125"/>
      <c r="H167" s="113"/>
      <c r="I167" s="113"/>
      <c r="J167" s="113"/>
    </row>
    <row r="168" spans="1:10" hidden="1">
      <c r="A168" s="369"/>
      <c r="B168" s="744"/>
      <c r="C168" s="745"/>
      <c r="D168" s="125"/>
      <c r="E168" s="125"/>
      <c r="F168" s="125"/>
      <c r="G168" s="125"/>
      <c r="H168" s="113"/>
      <c r="I168" s="113"/>
      <c r="J168" s="113"/>
    </row>
    <row r="169" spans="1:10" hidden="1">
      <c r="A169" s="124"/>
      <c r="B169" s="756"/>
      <c r="C169" s="757"/>
      <c r="D169" s="125"/>
      <c r="E169" s="125"/>
      <c r="F169" s="125"/>
      <c r="G169" s="125"/>
      <c r="H169" s="113"/>
      <c r="I169" s="113"/>
      <c r="J169" s="113"/>
    </row>
    <row r="170" spans="1:10" hidden="1">
      <c r="A170" s="166"/>
      <c r="B170" s="727" t="s">
        <v>216</v>
      </c>
      <c r="C170" s="728"/>
      <c r="D170" s="167"/>
      <c r="E170" s="167">
        <f>SUM(E150:E169)</f>
        <v>0</v>
      </c>
      <c r="F170" s="167">
        <f>SUM(F150:F169)</f>
        <v>0</v>
      </c>
      <c r="G170" s="167">
        <f>SUM(G150:G169)</f>
        <v>0</v>
      </c>
      <c r="H170" s="171"/>
      <c r="I170" s="171"/>
      <c r="J170" s="171"/>
    </row>
    <row r="171" spans="1:10">
      <c r="A171" s="18"/>
      <c r="B171" s="113"/>
      <c r="C171" s="113"/>
      <c r="D171" s="113"/>
      <c r="E171" s="113"/>
      <c r="F171" s="113"/>
      <c r="G171" s="113"/>
      <c r="H171" s="113"/>
      <c r="I171" s="113"/>
      <c r="J171" s="113"/>
    </row>
    <row r="172" spans="1:10">
      <c r="A172" s="67" t="s">
        <v>262</v>
      </c>
      <c r="B172" s="117"/>
      <c r="C172" s="117"/>
      <c r="D172" s="117"/>
      <c r="E172" s="117"/>
      <c r="F172" s="117"/>
      <c r="G172" s="117"/>
      <c r="H172" s="117"/>
      <c r="I172" s="117"/>
      <c r="J172" s="117"/>
    </row>
    <row r="173" spans="1:10">
      <c r="A173" s="18"/>
      <c r="B173" s="113"/>
      <c r="C173" s="113"/>
      <c r="D173" s="113"/>
      <c r="E173" s="113"/>
      <c r="F173" s="113"/>
      <c r="G173" s="113"/>
      <c r="H173" s="113"/>
      <c r="I173" s="113"/>
      <c r="J173" s="113"/>
    </row>
    <row r="174" spans="1:10" ht="31.5">
      <c r="A174" s="126" t="s">
        <v>218</v>
      </c>
      <c r="B174" s="733" t="s">
        <v>237</v>
      </c>
      <c r="C174" s="734"/>
      <c r="D174" s="393" t="s">
        <v>505</v>
      </c>
      <c r="E174" s="120" t="s">
        <v>303</v>
      </c>
      <c r="F174" s="120" t="s">
        <v>304</v>
      </c>
      <c r="G174" s="120" t="s">
        <v>422</v>
      </c>
      <c r="H174" s="113"/>
      <c r="I174" s="113"/>
      <c r="J174" s="113"/>
    </row>
    <row r="175" spans="1:10">
      <c r="A175" s="394">
        <v>1</v>
      </c>
      <c r="B175" s="778">
        <v>2</v>
      </c>
      <c r="C175" s="779"/>
      <c r="D175" s="394">
        <v>4</v>
      </c>
      <c r="E175" s="394">
        <v>5</v>
      </c>
      <c r="F175" s="394">
        <v>6</v>
      </c>
      <c r="G175" s="394">
        <v>7</v>
      </c>
      <c r="H175" s="113"/>
      <c r="I175" s="113"/>
      <c r="J175" s="113"/>
    </row>
    <row r="176" spans="1:10" ht="15.75" thickBot="1">
      <c r="A176" s="395"/>
      <c r="B176" s="396" t="s">
        <v>506</v>
      </c>
      <c r="C176" s="395"/>
      <c r="D176" s="395"/>
      <c r="E176" s="395"/>
      <c r="F176" s="395"/>
      <c r="G176" s="395"/>
      <c r="H176" s="113"/>
      <c r="I176" s="113"/>
      <c r="J176" s="113"/>
    </row>
    <row r="177" spans="1:10" ht="16.5" thickBot="1">
      <c r="A177" s="397">
        <v>1</v>
      </c>
      <c r="B177" s="398" t="s">
        <v>507</v>
      </c>
      <c r="C177" s="398" t="s">
        <v>508</v>
      </c>
      <c r="D177" s="399"/>
      <c r="E177" s="400"/>
      <c r="F177" s="401"/>
      <c r="G177" s="401"/>
      <c r="H177" s="113"/>
      <c r="I177" s="113"/>
      <c r="J177" s="113"/>
    </row>
    <row r="178" spans="1:10" ht="15.75">
      <c r="A178" s="402"/>
      <c r="B178" s="396">
        <v>40</v>
      </c>
      <c r="C178" s="396">
        <v>5</v>
      </c>
      <c r="D178" s="403">
        <v>153</v>
      </c>
      <c r="E178" s="404">
        <f>B178*C178*D178</f>
        <v>30600</v>
      </c>
      <c r="F178" s="405">
        <f>B178*C178*D178</f>
        <v>30600</v>
      </c>
      <c r="G178" s="406">
        <f>F178</f>
        <v>30600</v>
      </c>
      <c r="H178" s="113"/>
      <c r="I178" s="113"/>
      <c r="J178" s="113"/>
    </row>
    <row r="179" spans="1:10" ht="15.75">
      <c r="A179" s="370"/>
      <c r="B179" s="407">
        <v>15</v>
      </c>
      <c r="C179" s="407">
        <v>5</v>
      </c>
      <c r="D179" s="408">
        <v>51</v>
      </c>
      <c r="E179" s="404">
        <f>B179*C179*D179</f>
        <v>3825</v>
      </c>
      <c r="F179" s="125">
        <f>B179*C179*D179</f>
        <v>3825</v>
      </c>
      <c r="G179" s="343">
        <f>F179</f>
        <v>3825</v>
      </c>
      <c r="H179" s="113"/>
      <c r="I179" s="113"/>
      <c r="J179" s="113"/>
    </row>
    <row r="180" spans="1:10">
      <c r="A180" s="370"/>
      <c r="B180" s="780" t="s">
        <v>509</v>
      </c>
      <c r="C180" s="773"/>
      <c r="D180" s="774"/>
      <c r="E180" s="409">
        <f>E178+E179</f>
        <v>34425</v>
      </c>
      <c r="F180" s="409">
        <f>F178+F179</f>
        <v>34425</v>
      </c>
      <c r="G180" s="343">
        <f>G178+G179</f>
        <v>34425</v>
      </c>
      <c r="H180" s="113"/>
      <c r="I180" s="113"/>
      <c r="J180" s="113"/>
    </row>
    <row r="181" spans="1:10" ht="15.75">
      <c r="A181" s="370"/>
      <c r="B181" s="396" t="s">
        <v>510</v>
      </c>
      <c r="C181" s="407"/>
      <c r="D181" s="408"/>
      <c r="E181" s="409"/>
      <c r="F181" s="125"/>
      <c r="G181" s="343"/>
      <c r="H181" s="113"/>
      <c r="I181" s="113"/>
      <c r="J181" s="113"/>
    </row>
    <row r="182" spans="1:10" ht="15.75">
      <c r="A182" s="370"/>
      <c r="B182" s="407">
        <v>50</v>
      </c>
      <c r="C182" s="407">
        <v>21</v>
      </c>
      <c r="D182" s="408">
        <v>153</v>
      </c>
      <c r="E182" s="409">
        <f>B182*C182*D182</f>
        <v>160650</v>
      </c>
      <c r="F182" s="125">
        <f>B182*C182*D182</f>
        <v>160650</v>
      </c>
      <c r="G182" s="343">
        <f>F182</f>
        <v>160650</v>
      </c>
      <c r="H182" s="113"/>
      <c r="I182" s="113"/>
      <c r="J182" s="113"/>
    </row>
    <row r="183" spans="1:10" ht="15.75">
      <c r="A183" s="370"/>
      <c r="B183" s="407">
        <v>15</v>
      </c>
      <c r="C183" s="407">
        <v>21</v>
      </c>
      <c r="D183" s="408">
        <v>51</v>
      </c>
      <c r="E183" s="409">
        <f>B183*C183*D183</f>
        <v>16065</v>
      </c>
      <c r="F183" s="125">
        <f>B183*C183*D183</f>
        <v>16065</v>
      </c>
      <c r="G183" s="343">
        <f>F183</f>
        <v>16065</v>
      </c>
      <c r="H183" s="113"/>
      <c r="I183" s="113"/>
      <c r="J183" s="113"/>
    </row>
    <row r="184" spans="1:10">
      <c r="A184" s="370"/>
      <c r="B184" s="780" t="s">
        <v>512</v>
      </c>
      <c r="C184" s="773"/>
      <c r="D184" s="774"/>
      <c r="E184" s="409">
        <f>E182+E183</f>
        <v>176715</v>
      </c>
      <c r="F184" s="125">
        <f>F182+F183</f>
        <v>176715</v>
      </c>
      <c r="G184" s="343">
        <f>G182+G183</f>
        <v>176715</v>
      </c>
      <c r="H184" s="113"/>
      <c r="I184" s="113"/>
      <c r="J184" s="113"/>
    </row>
    <row r="185" spans="1:10" ht="15.75" hidden="1">
      <c r="A185" s="370"/>
      <c r="B185" s="407"/>
      <c r="C185" s="407"/>
      <c r="D185" s="408"/>
      <c r="E185" s="409"/>
      <c r="F185" s="125"/>
      <c r="G185" s="125"/>
      <c r="H185" s="113"/>
      <c r="I185" s="113"/>
      <c r="J185" s="113"/>
    </row>
    <row r="186" spans="1:10" ht="15.75" hidden="1">
      <c r="A186" s="370"/>
      <c r="B186" s="407"/>
      <c r="C186" s="407"/>
      <c r="D186" s="408"/>
      <c r="E186" s="409"/>
      <c r="F186" s="125"/>
      <c r="G186" s="125"/>
      <c r="H186" s="113"/>
      <c r="I186" s="113"/>
      <c r="J186" s="113"/>
    </row>
    <row r="187" spans="1:10" ht="15.75" hidden="1">
      <c r="A187" s="370"/>
      <c r="B187" s="407"/>
      <c r="C187" s="407"/>
      <c r="D187" s="408"/>
      <c r="E187" s="409"/>
      <c r="F187" s="125"/>
      <c r="G187" s="125"/>
      <c r="H187" s="113"/>
      <c r="I187" s="113"/>
      <c r="J187" s="113"/>
    </row>
    <row r="188" spans="1:10" ht="15.75" hidden="1">
      <c r="A188" s="370"/>
      <c r="B188" s="407"/>
      <c r="C188" s="407"/>
      <c r="D188" s="408"/>
      <c r="E188" s="409"/>
      <c r="F188" s="125"/>
      <c r="G188" s="125"/>
      <c r="H188" s="113"/>
      <c r="I188" s="113"/>
      <c r="J188" s="113"/>
    </row>
    <row r="189" spans="1:10" ht="15.75" hidden="1">
      <c r="A189" s="370"/>
      <c r="B189" s="407"/>
      <c r="C189" s="407"/>
      <c r="D189" s="408"/>
      <c r="E189" s="409"/>
      <c r="F189" s="125"/>
      <c r="G189" s="125"/>
      <c r="H189" s="113"/>
      <c r="I189" s="113"/>
      <c r="J189" s="113"/>
    </row>
    <row r="190" spans="1:10" ht="15.75" hidden="1">
      <c r="A190" s="370"/>
      <c r="B190" s="407"/>
      <c r="C190" s="407"/>
      <c r="D190" s="408"/>
      <c r="E190" s="409"/>
      <c r="F190" s="125"/>
      <c r="G190" s="125"/>
      <c r="H190" s="113"/>
      <c r="I190" s="113"/>
      <c r="J190" s="113"/>
    </row>
    <row r="191" spans="1:10" ht="15.75" hidden="1">
      <c r="A191" s="370"/>
      <c r="B191" s="410"/>
      <c r="C191" s="410"/>
      <c r="D191" s="411"/>
      <c r="E191" s="125"/>
      <c r="F191" s="125"/>
      <c r="G191" s="125"/>
      <c r="H191" s="113"/>
      <c r="I191" s="113"/>
      <c r="J191" s="113"/>
    </row>
    <row r="192" spans="1:10" ht="15.75" hidden="1">
      <c r="A192" s="370"/>
      <c r="B192" s="410"/>
      <c r="C192" s="410"/>
      <c r="D192" s="411"/>
      <c r="E192" s="125"/>
      <c r="F192" s="125"/>
      <c r="G192" s="125"/>
      <c r="H192" s="113"/>
      <c r="I192" s="113"/>
      <c r="J192" s="113"/>
    </row>
    <row r="193" spans="1:10" ht="15.75" hidden="1">
      <c r="A193" s="370"/>
      <c r="B193" s="410"/>
      <c r="C193" s="410"/>
      <c r="D193" s="411"/>
      <c r="E193" s="125"/>
      <c r="F193" s="125"/>
      <c r="G193" s="125"/>
      <c r="H193" s="113"/>
      <c r="I193" s="113"/>
      <c r="J193" s="113"/>
    </row>
    <row r="194" spans="1:10" ht="15.75" hidden="1">
      <c r="A194" s="370"/>
      <c r="B194" s="410"/>
      <c r="C194" s="410"/>
      <c r="D194" s="411"/>
      <c r="E194" s="125"/>
      <c r="F194" s="125"/>
      <c r="G194" s="125"/>
      <c r="H194" s="113"/>
      <c r="I194" s="113"/>
      <c r="J194" s="113"/>
    </row>
    <row r="195" spans="1:10" ht="15.75" hidden="1">
      <c r="A195" s="370"/>
      <c r="B195" s="410"/>
      <c r="C195" s="410"/>
      <c r="D195" s="411"/>
      <c r="E195" s="125"/>
      <c r="F195" s="125"/>
      <c r="G195" s="125"/>
      <c r="H195" s="113"/>
      <c r="I195" s="113"/>
      <c r="J195" s="113"/>
    </row>
    <row r="196" spans="1:10" ht="15.75" hidden="1">
      <c r="A196" s="370"/>
      <c r="B196" s="410"/>
      <c r="C196" s="410"/>
      <c r="D196" s="411"/>
      <c r="E196" s="125"/>
      <c r="F196" s="125"/>
      <c r="G196" s="125"/>
      <c r="H196" s="113"/>
      <c r="I196" s="113"/>
      <c r="J196" s="113"/>
    </row>
    <row r="197" spans="1:10" ht="15.75" hidden="1">
      <c r="A197" s="371"/>
      <c r="B197" s="410"/>
      <c r="C197" s="410"/>
      <c r="D197" s="411"/>
      <c r="E197" s="125"/>
      <c r="F197" s="125"/>
      <c r="G197" s="125"/>
      <c r="H197" s="113"/>
      <c r="I197" s="113"/>
      <c r="J197" s="113"/>
    </row>
    <row r="198" spans="1:10" ht="15.75" hidden="1">
      <c r="A198" s="370"/>
      <c r="B198" s="410"/>
      <c r="C198" s="410"/>
      <c r="D198" s="411"/>
      <c r="E198" s="125"/>
      <c r="F198" s="125"/>
      <c r="G198" s="125"/>
      <c r="H198" s="113"/>
      <c r="I198" s="113"/>
      <c r="J198" s="113"/>
    </row>
    <row r="199" spans="1:10" ht="15.75" hidden="1">
      <c r="A199" s="371"/>
      <c r="B199" s="410"/>
      <c r="C199" s="410"/>
      <c r="D199" s="411"/>
      <c r="E199" s="125"/>
      <c r="F199" s="125"/>
      <c r="G199" s="125"/>
      <c r="H199" s="113"/>
      <c r="I199" s="113"/>
      <c r="J199" s="113"/>
    </row>
    <row r="200" spans="1:10" ht="15.75" hidden="1">
      <c r="A200" s="371"/>
      <c r="B200" s="410"/>
      <c r="C200" s="410"/>
      <c r="D200" s="411"/>
      <c r="E200" s="125"/>
      <c r="F200" s="125"/>
      <c r="G200" s="125"/>
      <c r="H200" s="113"/>
      <c r="I200" s="113"/>
      <c r="J200" s="113"/>
    </row>
    <row r="201" spans="1:10" ht="15.75" hidden="1">
      <c r="A201" s="371"/>
      <c r="B201" s="410"/>
      <c r="C201" s="410"/>
      <c r="D201" s="411"/>
      <c r="E201" s="125"/>
      <c r="F201" s="125"/>
      <c r="G201" s="125"/>
      <c r="H201" s="113"/>
      <c r="I201" s="113"/>
      <c r="J201" s="113"/>
    </row>
    <row r="202" spans="1:10" ht="15.75" hidden="1">
      <c r="A202" s="371"/>
      <c r="B202" s="410"/>
      <c r="C202" s="410"/>
      <c r="D202" s="411"/>
      <c r="E202" s="125"/>
      <c r="F202" s="125"/>
      <c r="G202" s="125"/>
      <c r="H202" s="113"/>
      <c r="I202" s="113"/>
      <c r="J202" s="113"/>
    </row>
    <row r="203" spans="1:10">
      <c r="A203" s="166"/>
      <c r="B203" s="727" t="s">
        <v>511</v>
      </c>
      <c r="C203" s="728"/>
      <c r="D203" s="167"/>
      <c r="E203" s="349">
        <f>E184+E180</f>
        <v>211140</v>
      </c>
      <c r="F203" s="349">
        <f>F184+F180</f>
        <v>211140</v>
      </c>
      <c r="G203" s="349">
        <f>G184+G180</f>
        <v>211140</v>
      </c>
      <c r="H203" s="171"/>
      <c r="I203" s="171"/>
      <c r="J203" s="171"/>
    </row>
    <row r="204" spans="1:10" hidden="1">
      <c r="A204" s="18"/>
      <c r="B204" s="113"/>
      <c r="C204" s="113"/>
      <c r="D204" s="373"/>
      <c r="E204" s="374"/>
      <c r="F204" s="374"/>
      <c r="G204" s="375"/>
      <c r="H204" s="113"/>
      <c r="I204" s="113"/>
      <c r="J204" s="113"/>
    </row>
    <row r="205" spans="1:10" ht="15.75" thickBot="1">
      <c r="A205" s="18"/>
      <c r="B205" s="113"/>
      <c r="C205" s="113"/>
      <c r="D205" s="113"/>
      <c r="E205" s="113"/>
      <c r="F205" s="113"/>
      <c r="G205" s="113"/>
      <c r="H205" s="113"/>
      <c r="I205" s="113"/>
      <c r="J205" s="113"/>
    </row>
    <row r="206" spans="1:10" ht="15.75" thickBot="1">
      <c r="A206" s="131"/>
      <c r="B206" s="729" t="s">
        <v>264</v>
      </c>
      <c r="C206" s="730"/>
      <c r="D206" s="731"/>
      <c r="E206" s="175">
        <f>E203</f>
        <v>211140</v>
      </c>
      <c r="F206" s="175">
        <f>F203</f>
        <v>211140</v>
      </c>
      <c r="G206" s="175">
        <f>G203</f>
        <v>211140</v>
      </c>
      <c r="H206" s="113"/>
      <c r="I206" s="113"/>
      <c r="J206" s="113"/>
    </row>
    <row r="207" spans="1:10">
      <c r="A207" s="18"/>
      <c r="B207" s="113"/>
      <c r="C207" s="113"/>
      <c r="D207" s="113"/>
      <c r="E207" s="113"/>
      <c r="F207" s="356"/>
      <c r="G207" s="113"/>
      <c r="H207" s="113"/>
      <c r="I207" s="113"/>
      <c r="J207" s="113"/>
    </row>
    <row r="208" spans="1:10">
      <c r="A208" s="18"/>
      <c r="B208" s="113"/>
      <c r="C208" s="113"/>
      <c r="D208" s="113"/>
      <c r="E208" s="113"/>
      <c r="F208" s="113"/>
      <c r="G208" s="113"/>
      <c r="H208" s="113"/>
      <c r="I208" s="113"/>
      <c r="J208" s="113"/>
    </row>
    <row r="209" spans="1:10">
      <c r="A209" s="732" t="s">
        <v>179</v>
      </c>
      <c r="B209" s="732"/>
      <c r="C209" s="732"/>
      <c r="D209" s="379"/>
      <c r="E209" s="378"/>
      <c r="F209" s="379"/>
      <c r="G209" s="378" t="s">
        <v>475</v>
      </c>
      <c r="H209" s="326"/>
      <c r="I209" s="132"/>
      <c r="J209" s="132"/>
    </row>
    <row r="210" spans="1:10">
      <c r="A210" s="732" t="s">
        <v>180</v>
      </c>
      <c r="B210" s="732"/>
      <c r="C210" s="732"/>
      <c r="D210" s="135"/>
      <c r="E210" s="134" t="s">
        <v>266</v>
      </c>
      <c r="F210" s="135"/>
      <c r="G210" s="330" t="s">
        <v>267</v>
      </c>
      <c r="H210" s="330"/>
      <c r="I210" s="135"/>
      <c r="J210" s="135"/>
    </row>
    <row r="211" spans="1:10">
      <c r="A211" s="329"/>
      <c r="B211" s="333"/>
      <c r="C211" s="333"/>
      <c r="D211" s="333"/>
      <c r="E211" s="333"/>
      <c r="F211" s="333"/>
      <c r="G211" s="333"/>
      <c r="H211" s="333"/>
      <c r="I211" s="333"/>
      <c r="J211" s="333"/>
    </row>
    <row r="212" spans="1:10">
      <c r="A212" s="723" t="s">
        <v>182</v>
      </c>
      <c r="B212" s="723"/>
      <c r="C212" s="359" t="s">
        <v>476</v>
      </c>
      <c r="D212" s="359" t="s">
        <v>477</v>
      </c>
      <c r="E212" s="132"/>
      <c r="F212" s="326"/>
      <c r="G212" s="326"/>
      <c r="H212" s="333"/>
      <c r="I212" s="333"/>
      <c r="J212" s="333"/>
    </row>
    <row r="213" spans="1:10">
      <c r="A213" s="333"/>
      <c r="B213" s="333"/>
      <c r="C213" s="134" t="s">
        <v>268</v>
      </c>
      <c r="D213" s="330" t="s">
        <v>183</v>
      </c>
      <c r="E213" s="135"/>
      <c r="F213" s="724" t="s">
        <v>184</v>
      </c>
      <c r="G213" s="724"/>
      <c r="H213" s="333"/>
      <c r="I213" s="333"/>
      <c r="J213" s="333"/>
    </row>
    <row r="214" spans="1:10">
      <c r="A214" s="333"/>
      <c r="B214" s="333"/>
      <c r="C214" s="333"/>
      <c r="D214" s="333"/>
      <c r="E214" s="333"/>
      <c r="F214" s="333"/>
      <c r="G214" s="333"/>
      <c r="H214" s="333"/>
      <c r="I214" s="333"/>
      <c r="J214" s="333"/>
    </row>
    <row r="215" spans="1:10">
      <c r="A215" s="333"/>
      <c r="B215" s="333"/>
      <c r="C215" s="333"/>
      <c r="D215" s="333"/>
      <c r="E215" s="333"/>
      <c r="F215" s="333"/>
      <c r="G215" s="333"/>
      <c r="H215" s="333"/>
      <c r="I215" s="333"/>
      <c r="J215" s="333"/>
    </row>
    <row r="216" spans="1:10">
      <c r="A216" s="333"/>
      <c r="B216" s="333"/>
      <c r="C216" s="333"/>
      <c r="D216" s="333"/>
      <c r="E216" s="333"/>
      <c r="F216" s="333"/>
      <c r="G216" s="333"/>
      <c r="H216" s="333"/>
      <c r="I216" s="333"/>
      <c r="J216" s="333"/>
    </row>
    <row r="217" spans="1:10">
      <c r="A217" s="333"/>
      <c r="B217" s="333"/>
      <c r="C217" s="333"/>
      <c r="D217" s="333"/>
      <c r="E217" s="333"/>
      <c r="F217" s="333"/>
      <c r="G217" s="333"/>
      <c r="H217" s="333"/>
      <c r="I217" s="333"/>
      <c r="J217" s="333"/>
    </row>
    <row r="218" spans="1:10">
      <c r="A218" s="723" t="s">
        <v>513</v>
      </c>
      <c r="B218" s="723"/>
      <c r="C218" s="723"/>
      <c r="D218" s="723"/>
      <c r="E218" s="333"/>
      <c r="F218" s="333"/>
      <c r="G218" s="333"/>
      <c r="H218" s="333"/>
      <c r="I218" s="333"/>
      <c r="J218" s="333"/>
    </row>
  </sheetData>
  <mergeCells count="113">
    <mergeCell ref="I13:I15"/>
    <mergeCell ref="J13:J15"/>
    <mergeCell ref="B33:G33"/>
    <mergeCell ref="A48:G48"/>
    <mergeCell ref="B50:C50"/>
    <mergeCell ref="B51:C51"/>
    <mergeCell ref="A1:J1"/>
    <mergeCell ref="A4:J4"/>
    <mergeCell ref="A6:B6"/>
    <mergeCell ref="A8:C8"/>
    <mergeCell ref="A13:A15"/>
    <mergeCell ref="B13:B15"/>
    <mergeCell ref="C13:C15"/>
    <mergeCell ref="D13:F13"/>
    <mergeCell ref="G13:G15"/>
    <mergeCell ref="H13:H15"/>
    <mergeCell ref="B58:C58"/>
    <mergeCell ref="B59:C59"/>
    <mergeCell ref="B63:C63"/>
    <mergeCell ref="B64:C64"/>
    <mergeCell ref="B65:C65"/>
    <mergeCell ref="B66:C66"/>
    <mergeCell ref="B52:C52"/>
    <mergeCell ref="B53:C53"/>
    <mergeCell ref="B54:C54"/>
    <mergeCell ref="B55:C55"/>
    <mergeCell ref="B56:C56"/>
    <mergeCell ref="B57:C57"/>
    <mergeCell ref="B76:C76"/>
    <mergeCell ref="B77:C77"/>
    <mergeCell ref="B78:C78"/>
    <mergeCell ref="B79:C79"/>
    <mergeCell ref="B80:C80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94:C94"/>
    <mergeCell ref="B95:C95"/>
    <mergeCell ref="B82:C82"/>
    <mergeCell ref="B83:C83"/>
    <mergeCell ref="A85:G85"/>
    <mergeCell ref="B87:C87"/>
    <mergeCell ref="B88:C88"/>
    <mergeCell ref="B89:C89"/>
    <mergeCell ref="B110:C110"/>
    <mergeCell ref="B111:C111"/>
    <mergeCell ref="B112:C112"/>
    <mergeCell ref="B113:C113"/>
    <mergeCell ref="B114:C114"/>
    <mergeCell ref="B115:C115"/>
    <mergeCell ref="B100:C100"/>
    <mergeCell ref="B101:C101"/>
    <mergeCell ref="B102:C102"/>
    <mergeCell ref="B104:C104"/>
    <mergeCell ref="B105:C105"/>
    <mergeCell ref="B106:C106"/>
    <mergeCell ref="B125:C125"/>
    <mergeCell ref="B126:C126"/>
    <mergeCell ref="B127:E127"/>
    <mergeCell ref="B128:C128"/>
    <mergeCell ref="B130:C130"/>
    <mergeCell ref="B132:C132"/>
    <mergeCell ref="B116:C116"/>
    <mergeCell ref="B117:C117"/>
    <mergeCell ref="B118:C118"/>
    <mergeCell ref="B122:C122"/>
    <mergeCell ref="B123:C123"/>
    <mergeCell ref="B124:C124"/>
    <mergeCell ref="B142:C142"/>
    <mergeCell ref="B143:C143"/>
    <mergeCell ref="B144:C144"/>
    <mergeCell ref="B148:C148"/>
    <mergeCell ref="B149:C149"/>
    <mergeCell ref="B150:C150"/>
    <mergeCell ref="B136:C136"/>
    <mergeCell ref="B137:C137"/>
    <mergeCell ref="B138:C138"/>
    <mergeCell ref="B139:C139"/>
    <mergeCell ref="B140:C140"/>
    <mergeCell ref="B141:C141"/>
    <mergeCell ref="B161:C161"/>
    <mergeCell ref="B164:C164"/>
    <mergeCell ref="B165:C165"/>
    <mergeCell ref="B166:C166"/>
    <mergeCell ref="B167:C167"/>
    <mergeCell ref="B168:C168"/>
    <mergeCell ref="B151:C151"/>
    <mergeCell ref="B152:C152"/>
    <mergeCell ref="B153:C153"/>
    <mergeCell ref="B154:C154"/>
    <mergeCell ref="B157:C157"/>
    <mergeCell ref="B159:C159"/>
    <mergeCell ref="A210:C210"/>
    <mergeCell ref="A212:B212"/>
    <mergeCell ref="F213:G213"/>
    <mergeCell ref="A218:D218"/>
    <mergeCell ref="B206:D206"/>
    <mergeCell ref="A209:C209"/>
    <mergeCell ref="B203:C203"/>
    <mergeCell ref="B169:C169"/>
    <mergeCell ref="B170:C170"/>
    <mergeCell ref="B174:C174"/>
    <mergeCell ref="B175:C175"/>
    <mergeCell ref="B180:D180"/>
    <mergeCell ref="B184:D184"/>
  </mergeCells>
  <pageMargins left="0.25" right="0.25" top="0.75" bottom="0.75" header="0.3" footer="0.3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8"/>
  <sheetViews>
    <sheetView workbookViewId="0">
      <selection activeCell="D178" sqref="D178"/>
    </sheetView>
  </sheetViews>
  <sheetFormatPr defaultRowHeight="15"/>
  <cols>
    <col min="6" max="6" width="11.5703125" customWidth="1"/>
    <col min="7" max="7" width="13.140625" customWidth="1"/>
    <col min="8" max="8" width="15.5703125" customWidth="1"/>
  </cols>
  <sheetData>
    <row r="1" spans="1:11" ht="57.75" customHeight="1">
      <c r="A1" s="781" t="s">
        <v>203</v>
      </c>
      <c r="B1" s="781"/>
      <c r="C1" s="781"/>
      <c r="D1" s="781"/>
      <c r="E1" s="781"/>
      <c r="F1" s="781"/>
      <c r="G1" s="781"/>
      <c r="H1" s="781"/>
      <c r="I1" s="414"/>
      <c r="J1" s="414"/>
      <c r="K1" s="414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341" t="s">
        <v>514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300</v>
      </c>
      <c r="E8" s="113"/>
      <c r="F8" s="113"/>
      <c r="G8" s="113"/>
      <c r="H8" s="113"/>
      <c r="I8" s="113"/>
      <c r="J8" s="113"/>
      <c r="K8" s="113"/>
    </row>
    <row r="9" spans="1:11">
      <c r="A9" s="324"/>
      <c r="B9" s="324"/>
      <c r="C9" s="324"/>
      <c r="D9" s="113"/>
      <c r="E9" s="113"/>
      <c r="F9" s="113"/>
      <c r="G9" s="113"/>
      <c r="H9" s="113"/>
      <c r="I9" s="113"/>
      <c r="J9" s="113"/>
      <c r="K9" s="113"/>
    </row>
    <row r="10" spans="1:11" hidden="1">
      <c r="A10" s="116" t="s">
        <v>206</v>
      </c>
      <c r="B10" s="117"/>
      <c r="C10" s="117"/>
      <c r="D10" s="117"/>
      <c r="E10" s="113"/>
      <c r="F10" s="113"/>
      <c r="G10" s="113"/>
      <c r="H10" s="113"/>
      <c r="I10" s="113"/>
      <c r="J10" s="113"/>
      <c r="K10" s="113"/>
    </row>
    <row r="11" spans="1:11" hidden="1">
      <c r="A11" s="116" t="s">
        <v>207</v>
      </c>
      <c r="B11" s="117"/>
      <c r="C11" s="117"/>
      <c r="D11" s="117"/>
      <c r="E11" s="113"/>
      <c r="F11" s="113"/>
      <c r="G11" s="113"/>
      <c r="H11" s="113"/>
      <c r="I11" s="113"/>
      <c r="J11" s="113"/>
      <c r="K11" s="113"/>
    </row>
    <row r="12" spans="1:11" hidden="1">
      <c r="A12" s="18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idden="1">
      <c r="A13" s="766"/>
      <c r="B13" s="767" t="s">
        <v>208</v>
      </c>
      <c r="C13" s="767" t="s">
        <v>209</v>
      </c>
      <c r="D13" s="767" t="s">
        <v>210</v>
      </c>
      <c r="E13" s="767"/>
      <c r="F13" s="767"/>
      <c r="G13" s="767"/>
      <c r="H13" s="767" t="s">
        <v>211</v>
      </c>
      <c r="I13" s="767" t="s">
        <v>481</v>
      </c>
      <c r="J13" s="767" t="s">
        <v>308</v>
      </c>
      <c r="K13" s="767" t="s">
        <v>309</v>
      </c>
    </row>
    <row r="14" spans="1:11" hidden="1">
      <c r="A14" s="766"/>
      <c r="B14" s="767"/>
      <c r="C14" s="767"/>
      <c r="D14" s="766" t="s">
        <v>212</v>
      </c>
      <c r="E14" s="336" t="s">
        <v>29</v>
      </c>
      <c r="F14" s="336"/>
      <c r="G14" s="336"/>
      <c r="H14" s="767"/>
      <c r="I14" s="767"/>
      <c r="J14" s="767"/>
      <c r="K14" s="767"/>
    </row>
    <row r="15" spans="1:11" ht="48.75" hidden="1">
      <c r="A15" s="766"/>
      <c r="B15" s="767"/>
      <c r="C15" s="767"/>
      <c r="D15" s="766"/>
      <c r="E15" s="120" t="s">
        <v>213</v>
      </c>
      <c r="F15" s="120" t="s">
        <v>214</v>
      </c>
      <c r="G15" s="120" t="s">
        <v>215</v>
      </c>
      <c r="H15" s="767"/>
      <c r="I15" s="767"/>
      <c r="J15" s="767"/>
      <c r="K15" s="767"/>
    </row>
    <row r="16" spans="1:11" hidden="1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  <c r="H16" s="122">
        <v>8</v>
      </c>
      <c r="I16" s="122">
        <v>9</v>
      </c>
      <c r="J16" s="122">
        <v>10</v>
      </c>
      <c r="K16" s="122">
        <v>11</v>
      </c>
    </row>
    <row r="17" spans="1:11" hidden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idden="1">
      <c r="A18" s="124"/>
      <c r="B18" s="120"/>
      <c r="C18" s="343"/>
      <c r="D18" s="343"/>
      <c r="E18" s="343"/>
      <c r="F18" s="343"/>
      <c r="G18" s="343"/>
      <c r="H18" s="125"/>
      <c r="I18" s="169"/>
      <c r="J18" s="343"/>
      <c r="K18" s="125"/>
    </row>
    <row r="19" spans="1:11" hidden="1">
      <c r="A19" s="124"/>
      <c r="B19" s="120"/>
      <c r="C19" s="343"/>
      <c r="D19" s="343"/>
      <c r="E19" s="343"/>
      <c r="F19" s="343"/>
      <c r="G19" s="343"/>
      <c r="H19" s="125"/>
      <c r="I19" s="169"/>
      <c r="J19" s="343"/>
      <c r="K19" s="125"/>
    </row>
    <row r="20" spans="1:11" hidden="1">
      <c r="A20" s="124"/>
      <c r="B20" s="120"/>
      <c r="C20" s="343"/>
      <c r="D20" s="343"/>
      <c r="E20" s="343"/>
      <c r="F20" s="343"/>
      <c r="G20" s="343"/>
      <c r="H20" s="125"/>
      <c r="I20" s="169"/>
      <c r="J20" s="343"/>
      <c r="K20" s="169"/>
    </row>
    <row r="21" spans="1:11" hidden="1">
      <c r="A21" s="122"/>
      <c r="B21" s="122"/>
      <c r="C21" s="122"/>
      <c r="D21" s="122"/>
      <c r="E21" s="122"/>
      <c r="F21" s="122"/>
      <c r="G21" s="122"/>
      <c r="H21" s="122"/>
      <c r="I21" s="122"/>
      <c r="J21" s="382"/>
      <c r="K21" s="122"/>
    </row>
    <row r="22" spans="1:11" hidden="1">
      <c r="A22" s="124"/>
      <c r="B22" s="120"/>
      <c r="C22" s="343"/>
      <c r="D22" s="343"/>
      <c r="E22" s="343"/>
      <c r="F22" s="343"/>
      <c r="G22" s="343"/>
      <c r="H22" s="125"/>
      <c r="I22" s="169"/>
      <c r="J22" s="343"/>
      <c r="K22" s="125"/>
    </row>
    <row r="23" spans="1:11" hidden="1">
      <c r="A23" s="124"/>
      <c r="B23" s="120"/>
      <c r="C23" s="343"/>
      <c r="D23" s="343"/>
      <c r="E23" s="343"/>
      <c r="F23" s="343"/>
      <c r="G23" s="343"/>
      <c r="H23" s="125"/>
      <c r="I23" s="169"/>
      <c r="J23" s="343"/>
      <c r="K23" s="125"/>
    </row>
    <row r="24" spans="1:11" hidden="1">
      <c r="A24" s="124"/>
      <c r="B24" s="120"/>
      <c r="C24" s="343"/>
      <c r="D24" s="343"/>
      <c r="E24" s="343"/>
      <c r="F24" s="343"/>
      <c r="G24" s="343"/>
      <c r="H24" s="125"/>
      <c r="I24" s="169"/>
      <c r="J24" s="343"/>
      <c r="K24" s="169"/>
    </row>
    <row r="25" spans="1:11" hidden="1">
      <c r="A25" s="122"/>
      <c r="B25" s="122"/>
      <c r="C25" s="122"/>
      <c r="D25" s="122"/>
      <c r="E25" s="122"/>
      <c r="F25" s="122"/>
      <c r="G25" s="122"/>
      <c r="H25" s="122"/>
      <c r="I25" s="122"/>
      <c r="J25" s="343"/>
      <c r="K25" s="169"/>
    </row>
    <row r="26" spans="1:11" hidden="1">
      <c r="A26" s="124"/>
      <c r="B26" s="120"/>
      <c r="C26" s="343"/>
      <c r="D26" s="343"/>
      <c r="E26" s="343"/>
      <c r="F26" s="343"/>
      <c r="G26" s="343"/>
      <c r="H26" s="125"/>
      <c r="I26" s="169"/>
      <c r="J26" s="343"/>
      <c r="K26" s="169"/>
    </row>
    <row r="27" spans="1:11" hidden="1">
      <c r="A27" s="124"/>
      <c r="B27" s="120"/>
      <c r="C27" s="343"/>
      <c r="D27" s="343"/>
      <c r="E27" s="343"/>
      <c r="F27" s="343"/>
      <c r="G27" s="343"/>
      <c r="H27" s="125"/>
      <c r="I27" s="169"/>
      <c r="J27" s="343"/>
      <c r="K27" s="169"/>
    </row>
    <row r="28" spans="1:11" hidden="1">
      <c r="A28" s="124"/>
      <c r="B28" s="120"/>
      <c r="C28" s="343"/>
      <c r="D28" s="343"/>
      <c r="E28" s="343"/>
      <c r="F28" s="343"/>
      <c r="G28" s="343"/>
      <c r="H28" s="125"/>
      <c r="I28" s="169"/>
      <c r="J28" s="343"/>
      <c r="K28" s="169"/>
    </row>
    <row r="29" spans="1:11" hidden="1">
      <c r="A29" s="124"/>
      <c r="B29" s="122"/>
      <c r="C29" s="122"/>
      <c r="D29" s="122"/>
      <c r="E29" s="122"/>
      <c r="F29" s="122"/>
      <c r="G29" s="122"/>
      <c r="H29" s="125"/>
      <c r="I29" s="169"/>
      <c r="J29" s="343"/>
      <c r="K29" s="169"/>
    </row>
    <row r="30" spans="1:11" hidden="1">
      <c r="A30" s="124"/>
      <c r="B30" s="120"/>
      <c r="C30" s="343"/>
      <c r="D30" s="343"/>
      <c r="E30" s="343"/>
      <c r="F30" s="343"/>
      <c r="G30" s="343"/>
      <c r="H30" s="125"/>
      <c r="I30" s="169"/>
      <c r="J30" s="343"/>
      <c r="K30" s="169"/>
    </row>
    <row r="31" spans="1:11" hidden="1">
      <c r="A31" s="124"/>
      <c r="B31" s="120"/>
      <c r="C31" s="343"/>
      <c r="D31" s="343"/>
      <c r="E31" s="343"/>
      <c r="F31" s="343"/>
      <c r="G31" s="343"/>
      <c r="H31" s="125"/>
      <c r="I31" s="169"/>
      <c r="J31" s="169"/>
      <c r="K31" s="169"/>
    </row>
    <row r="32" spans="1:11" hidden="1">
      <c r="A32" s="124"/>
      <c r="B32" s="120"/>
      <c r="C32" s="343"/>
      <c r="D32" s="343"/>
      <c r="E32" s="343"/>
      <c r="F32" s="343"/>
      <c r="G32" s="343"/>
      <c r="H32" s="125"/>
      <c r="I32" s="169"/>
      <c r="J32" s="169"/>
      <c r="K32" s="169"/>
    </row>
    <row r="33" spans="1:11" hidden="1">
      <c r="A33" s="124"/>
      <c r="B33" s="776"/>
      <c r="C33" s="777"/>
      <c r="D33" s="777"/>
      <c r="E33" s="777"/>
      <c r="F33" s="777"/>
      <c r="G33" s="777"/>
      <c r="H33" s="747"/>
      <c r="I33" s="169"/>
      <c r="J33" s="169"/>
      <c r="K33" s="169"/>
    </row>
    <row r="34" spans="1:11" hidden="1">
      <c r="A34" s="166" t="s">
        <v>216</v>
      </c>
      <c r="B34" s="167"/>
      <c r="C34" s="167"/>
      <c r="D34" s="167"/>
      <c r="E34" s="167"/>
      <c r="F34" s="167"/>
      <c r="G34" s="167"/>
      <c r="H34" s="167"/>
      <c r="I34" s="170">
        <f>SUM(I18:I33)</f>
        <v>0</v>
      </c>
      <c r="J34" s="170">
        <f>SUM(J18:J32)</f>
        <v>0</v>
      </c>
      <c r="K34" s="170">
        <f>SUM(K18:K32)</f>
        <v>0</v>
      </c>
    </row>
    <row r="35" spans="1:11" hidden="1">
      <c r="A35" s="18"/>
      <c r="B35" s="113"/>
      <c r="C35" s="113"/>
      <c r="D35" s="113"/>
      <c r="E35" s="113"/>
      <c r="F35" s="113"/>
      <c r="G35" s="113"/>
      <c r="H35" s="113"/>
      <c r="I35" s="392"/>
      <c r="J35" s="392"/>
      <c r="K35" s="392"/>
    </row>
    <row r="36" spans="1:11" hidden="1">
      <c r="A36" s="67" t="s">
        <v>217</v>
      </c>
      <c r="B36" s="117"/>
      <c r="C36" s="117"/>
      <c r="D36" s="117"/>
      <c r="E36" s="117"/>
      <c r="F36" s="117"/>
      <c r="G36" s="117"/>
      <c r="H36" s="117"/>
      <c r="I36" s="117"/>
      <c r="J36" s="362"/>
      <c r="K36" s="362"/>
    </row>
    <row r="37" spans="1:11" hidden="1">
      <c r="A37" s="18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84.75" hidden="1">
      <c r="A38" s="126" t="s">
        <v>218</v>
      </c>
      <c r="B38" s="120" t="s">
        <v>219</v>
      </c>
      <c r="C38" s="120" t="s">
        <v>220</v>
      </c>
      <c r="D38" s="120" t="s">
        <v>221</v>
      </c>
      <c r="E38" s="120" t="s">
        <v>222</v>
      </c>
      <c r="F38" s="120" t="s">
        <v>223</v>
      </c>
      <c r="G38" s="120" t="s">
        <v>223</v>
      </c>
      <c r="H38" s="120" t="s">
        <v>223</v>
      </c>
      <c r="I38" s="127"/>
      <c r="J38" s="127"/>
      <c r="K38" s="127"/>
    </row>
    <row r="39" spans="1:11" hidden="1">
      <c r="A39" s="122">
        <v>1</v>
      </c>
      <c r="B39" s="122">
        <v>2</v>
      </c>
      <c r="C39" s="122">
        <v>3</v>
      </c>
      <c r="D39" s="122">
        <v>4</v>
      </c>
      <c r="E39" s="122">
        <v>5</v>
      </c>
      <c r="F39" s="122">
        <v>6</v>
      </c>
      <c r="G39" s="122">
        <v>7</v>
      </c>
      <c r="H39" s="122">
        <v>8</v>
      </c>
      <c r="I39" s="325"/>
      <c r="J39" s="325"/>
      <c r="K39" s="325"/>
    </row>
    <row r="40" spans="1:11" hidden="1">
      <c r="A40" s="124"/>
      <c r="B40" s="125"/>
      <c r="C40" s="125"/>
      <c r="D40" s="125"/>
      <c r="E40" s="125"/>
      <c r="F40" s="125"/>
      <c r="G40" s="125"/>
      <c r="H40" s="125"/>
      <c r="I40" s="113"/>
      <c r="J40" s="113"/>
      <c r="K40" s="113"/>
    </row>
    <row r="41" spans="1:11" hidden="1">
      <c r="A41" s="124"/>
      <c r="B41" s="125"/>
      <c r="C41" s="125"/>
      <c r="D41" s="125"/>
      <c r="E41" s="125"/>
      <c r="F41" s="125"/>
      <c r="G41" s="125"/>
      <c r="H41" s="125"/>
      <c r="I41" s="113"/>
      <c r="J41" s="113"/>
      <c r="K41" s="113"/>
    </row>
    <row r="42" spans="1:11" hidden="1">
      <c r="A42" s="124"/>
      <c r="B42" s="125"/>
      <c r="C42" s="125"/>
      <c r="D42" s="125"/>
      <c r="E42" s="125"/>
      <c r="F42" s="125"/>
      <c r="G42" s="125"/>
      <c r="H42" s="125"/>
      <c r="I42" s="113"/>
      <c r="J42" s="113"/>
      <c r="K42" s="113"/>
    </row>
    <row r="43" spans="1:11" hidden="1">
      <c r="A43" s="124"/>
      <c r="B43" s="125"/>
      <c r="C43" s="125"/>
      <c r="D43" s="125"/>
      <c r="E43" s="125"/>
      <c r="F43" s="125"/>
      <c r="G43" s="125"/>
      <c r="H43" s="125"/>
      <c r="I43" s="113"/>
      <c r="J43" s="113"/>
      <c r="K43" s="113"/>
    </row>
    <row r="44" spans="1:11" hidden="1">
      <c r="A44" s="124"/>
      <c r="B44" s="125"/>
      <c r="C44" s="125"/>
      <c r="D44" s="125"/>
      <c r="E44" s="125"/>
      <c r="F44" s="125"/>
      <c r="G44" s="125"/>
      <c r="H44" s="125"/>
      <c r="I44" s="113"/>
      <c r="J44" s="113"/>
      <c r="K44" s="113"/>
    </row>
    <row r="45" spans="1:11" hidden="1">
      <c r="A45" s="124"/>
      <c r="B45" s="125"/>
      <c r="C45" s="125"/>
      <c r="D45" s="125"/>
      <c r="E45" s="125"/>
      <c r="F45" s="125"/>
      <c r="G45" s="125"/>
      <c r="H45" s="125"/>
      <c r="I45" s="113"/>
      <c r="J45" s="113"/>
      <c r="K45" s="113"/>
    </row>
    <row r="46" spans="1:11" hidden="1">
      <c r="A46" s="124"/>
      <c r="B46" s="125"/>
      <c r="C46" s="125"/>
      <c r="D46" s="125"/>
      <c r="E46" s="125"/>
      <c r="F46" s="125"/>
      <c r="G46" s="125"/>
      <c r="H46" s="125"/>
      <c r="I46" s="113"/>
      <c r="J46" s="113"/>
      <c r="K46" s="113"/>
    </row>
    <row r="47" spans="1:11" hidden="1">
      <c r="A47" s="18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idden="1">
      <c r="A48" s="763" t="s">
        <v>224</v>
      </c>
      <c r="B48" s="763"/>
      <c r="C48" s="763"/>
      <c r="D48" s="763"/>
      <c r="E48" s="763"/>
      <c r="F48" s="763"/>
      <c r="G48" s="763"/>
      <c r="H48" s="763"/>
      <c r="I48" s="113"/>
      <c r="J48" s="113"/>
      <c r="K48" s="113"/>
    </row>
    <row r="49" spans="1:11" hidden="1">
      <c r="A49" s="18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1:11" ht="84.75" hidden="1">
      <c r="A50" s="126" t="s">
        <v>218</v>
      </c>
      <c r="B50" s="733" t="s">
        <v>225</v>
      </c>
      <c r="C50" s="764"/>
      <c r="D50" s="734"/>
      <c r="E50" s="120" t="s">
        <v>226</v>
      </c>
      <c r="F50" s="120" t="s">
        <v>483</v>
      </c>
      <c r="G50" s="120" t="s">
        <v>301</v>
      </c>
      <c r="H50" s="120" t="s">
        <v>302</v>
      </c>
      <c r="I50" s="113"/>
      <c r="J50" s="113"/>
      <c r="K50" s="113"/>
    </row>
    <row r="51" spans="1:11" hidden="1">
      <c r="A51" s="122">
        <v>1</v>
      </c>
      <c r="B51" s="725">
        <v>2</v>
      </c>
      <c r="C51" s="765"/>
      <c r="D51" s="726"/>
      <c r="E51" s="122">
        <v>3</v>
      </c>
      <c r="F51" s="122">
        <v>4</v>
      </c>
      <c r="G51" s="122">
        <v>5</v>
      </c>
      <c r="H51" s="122">
        <v>6</v>
      </c>
      <c r="I51" s="113"/>
      <c r="J51" s="113"/>
      <c r="K51" s="113"/>
    </row>
    <row r="52" spans="1:11" hidden="1">
      <c r="A52" s="124">
        <v>1</v>
      </c>
      <c r="B52" s="759" t="s">
        <v>227</v>
      </c>
      <c r="C52" s="760"/>
      <c r="D52" s="761"/>
      <c r="E52" s="169"/>
      <c r="F52" s="169">
        <f>F54</f>
        <v>0</v>
      </c>
      <c r="G52" s="169">
        <f t="shared" ref="G52:H52" si="0">G54</f>
        <v>0</v>
      </c>
      <c r="H52" s="169">
        <f t="shared" si="0"/>
        <v>0</v>
      </c>
      <c r="I52" s="113"/>
      <c r="J52" s="113"/>
      <c r="K52" s="113"/>
    </row>
    <row r="53" spans="1:11" hidden="1">
      <c r="A53" s="124"/>
      <c r="B53" s="759" t="s">
        <v>29</v>
      </c>
      <c r="C53" s="760"/>
      <c r="D53" s="761"/>
      <c r="E53" s="169"/>
      <c r="F53" s="169"/>
      <c r="G53" s="169"/>
      <c r="H53" s="169"/>
      <c r="I53" s="113"/>
      <c r="J53" s="113"/>
      <c r="K53" s="113"/>
    </row>
    <row r="54" spans="1:11" hidden="1">
      <c r="A54" s="130"/>
      <c r="B54" s="759" t="s">
        <v>228</v>
      </c>
      <c r="C54" s="760"/>
      <c r="D54" s="761"/>
      <c r="E54" s="169">
        <f>I18+I19+I20+I22+I23+I24+I26+I27+I28+I30+I31+I32</f>
        <v>0</v>
      </c>
      <c r="F54" s="169">
        <f>ROUND(E54*0.22,0)</f>
        <v>0</v>
      </c>
      <c r="G54" s="169">
        <f>ROUND(J34*0.22,0)</f>
        <v>0</v>
      </c>
      <c r="H54" s="169">
        <f>ROUND(K34*0.22,0)</f>
        <v>0</v>
      </c>
      <c r="I54" s="113"/>
      <c r="J54" s="113"/>
      <c r="K54" s="113"/>
    </row>
    <row r="55" spans="1:11" hidden="1">
      <c r="A55" s="124">
        <v>2</v>
      </c>
      <c r="B55" s="759" t="s">
        <v>229</v>
      </c>
      <c r="C55" s="760"/>
      <c r="D55" s="761"/>
      <c r="E55" s="169"/>
      <c r="F55" s="169">
        <f>F56+F57</f>
        <v>0</v>
      </c>
      <c r="G55" s="169">
        <f t="shared" ref="G55:H55" si="1">G56+G57</f>
        <v>0</v>
      </c>
      <c r="H55" s="169">
        <f t="shared" si="1"/>
        <v>0</v>
      </c>
      <c r="I55" s="113"/>
      <c r="J55" s="113"/>
      <c r="K55" s="113"/>
    </row>
    <row r="56" spans="1:11" hidden="1">
      <c r="A56" s="124"/>
      <c r="B56" s="759" t="s">
        <v>230</v>
      </c>
      <c r="C56" s="760"/>
      <c r="D56" s="761"/>
      <c r="E56" s="169">
        <f>E54</f>
        <v>0</v>
      </c>
      <c r="F56" s="169">
        <f>ROUND(E56*0.029,0)</f>
        <v>0</v>
      </c>
      <c r="G56" s="169">
        <f>ROUND(J34*0.029,0)</f>
        <v>0</v>
      </c>
      <c r="H56" s="169">
        <f>ROUND(K34*0.029,0)</f>
        <v>0</v>
      </c>
      <c r="I56" s="113"/>
      <c r="J56" s="113"/>
      <c r="K56" s="113"/>
    </row>
    <row r="57" spans="1:11" hidden="1">
      <c r="A57" s="124"/>
      <c r="B57" s="759" t="s">
        <v>231</v>
      </c>
      <c r="C57" s="760"/>
      <c r="D57" s="761"/>
      <c r="E57" s="169">
        <f>E56</f>
        <v>0</v>
      </c>
      <c r="F57" s="169">
        <f>ROUND(E57*0.002,0)</f>
        <v>0</v>
      </c>
      <c r="G57" s="169">
        <f>ROUND(J34*0.002,0)</f>
        <v>0</v>
      </c>
      <c r="H57" s="169">
        <f>ROUND(K34*0.002,0)</f>
        <v>0</v>
      </c>
      <c r="I57" s="113"/>
      <c r="J57" s="113"/>
      <c r="K57" s="113"/>
    </row>
    <row r="58" spans="1:11" hidden="1">
      <c r="A58" s="124">
        <v>3</v>
      </c>
      <c r="B58" s="759" t="s">
        <v>232</v>
      </c>
      <c r="C58" s="760"/>
      <c r="D58" s="761"/>
      <c r="E58" s="169">
        <f>E57</f>
        <v>0</v>
      </c>
      <c r="F58" s="169">
        <f>ROUND(E58*0.051,0)</f>
        <v>0</v>
      </c>
      <c r="G58" s="169">
        <f>ROUND(J34*0.051,0)</f>
        <v>0</v>
      </c>
      <c r="H58" s="169">
        <f>ROUND(K34*0.051,0)</f>
        <v>0</v>
      </c>
      <c r="I58" s="113"/>
      <c r="J58" s="113"/>
      <c r="K58" s="113"/>
    </row>
    <row r="59" spans="1:11" hidden="1">
      <c r="A59" s="166"/>
      <c r="B59" s="762" t="s">
        <v>216</v>
      </c>
      <c r="C59" s="762"/>
      <c r="D59" s="762"/>
      <c r="E59" s="170"/>
      <c r="F59" s="170">
        <f>F52+F55+F58</f>
        <v>0</v>
      </c>
      <c r="G59" s="170">
        <f t="shared" ref="G59:H59" si="2">G52+G55+G58</f>
        <v>0</v>
      </c>
      <c r="H59" s="170">
        <f t="shared" si="2"/>
        <v>0</v>
      </c>
      <c r="I59" s="171"/>
      <c r="J59" s="171"/>
      <c r="K59" s="171"/>
    </row>
    <row r="60" spans="1:11" hidden="1">
      <c r="A60" s="18"/>
      <c r="B60" s="113"/>
      <c r="C60" s="113"/>
      <c r="D60" s="113"/>
      <c r="E60" s="113"/>
      <c r="F60" s="368"/>
      <c r="G60" s="368"/>
      <c r="H60" s="368"/>
      <c r="I60" s="113"/>
      <c r="J60" s="113"/>
      <c r="K60" s="113"/>
    </row>
    <row r="61" spans="1:11" hidden="1">
      <c r="A61" s="67" t="s">
        <v>233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idden="1">
      <c r="A62" s="18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ht="48.75" hidden="1">
      <c r="A63" s="126" t="s">
        <v>218</v>
      </c>
      <c r="B63" s="733" t="s">
        <v>0</v>
      </c>
      <c r="C63" s="734"/>
      <c r="D63" s="120" t="s">
        <v>234</v>
      </c>
      <c r="E63" s="120" t="s">
        <v>235</v>
      </c>
      <c r="F63" s="120" t="s">
        <v>484</v>
      </c>
      <c r="G63" s="120" t="s">
        <v>303</v>
      </c>
      <c r="H63" s="120" t="s">
        <v>304</v>
      </c>
      <c r="I63" s="113"/>
      <c r="J63" s="113"/>
      <c r="K63" s="113"/>
    </row>
    <row r="64" spans="1:11" hidden="1">
      <c r="A64" s="122">
        <v>1</v>
      </c>
      <c r="B64" s="725">
        <v>2</v>
      </c>
      <c r="C64" s="726"/>
      <c r="D64" s="122">
        <v>3</v>
      </c>
      <c r="E64" s="122">
        <v>4</v>
      </c>
      <c r="F64" s="122">
        <v>5</v>
      </c>
      <c r="G64" s="122">
        <v>6</v>
      </c>
      <c r="H64" s="122">
        <v>7</v>
      </c>
      <c r="I64" s="113"/>
      <c r="J64" s="113"/>
      <c r="K64" s="113"/>
    </row>
    <row r="65" spans="1:11" hidden="1">
      <c r="A65" s="124">
        <v>1</v>
      </c>
      <c r="B65" s="725" t="s">
        <v>310</v>
      </c>
      <c r="C65" s="726"/>
      <c r="D65" s="125"/>
      <c r="E65" s="125"/>
      <c r="F65" s="169">
        <f>D65*E65</f>
        <v>0</v>
      </c>
      <c r="G65" s="169"/>
      <c r="H65" s="169"/>
      <c r="I65" s="113"/>
      <c r="J65" s="113"/>
      <c r="K65" s="113"/>
    </row>
    <row r="66" spans="1:11" hidden="1">
      <c r="A66" s="124">
        <v>2</v>
      </c>
      <c r="B66" s="725" t="s">
        <v>352</v>
      </c>
      <c r="C66" s="726"/>
      <c r="D66" s="125"/>
      <c r="E66" s="125"/>
      <c r="F66" s="169"/>
      <c r="G66" s="169"/>
      <c r="H66" s="169"/>
      <c r="I66" s="113"/>
      <c r="J66" s="113"/>
      <c r="K66" s="113"/>
    </row>
    <row r="67" spans="1:11" hidden="1">
      <c r="A67" s="124"/>
      <c r="B67" s="725"/>
      <c r="C67" s="726"/>
      <c r="D67" s="125"/>
      <c r="E67" s="125"/>
      <c r="F67" s="169">
        <f t="shared" ref="F67:F70" si="3">D67*E67</f>
        <v>0</v>
      </c>
      <c r="G67" s="169"/>
      <c r="H67" s="169"/>
      <c r="I67" s="113"/>
      <c r="J67" s="113"/>
      <c r="K67" s="113"/>
    </row>
    <row r="68" spans="1:11" hidden="1">
      <c r="A68" s="124"/>
      <c r="B68" s="725"/>
      <c r="C68" s="726"/>
      <c r="D68" s="125"/>
      <c r="E68" s="125"/>
      <c r="F68" s="169">
        <f t="shared" si="3"/>
        <v>0</v>
      </c>
      <c r="G68" s="169"/>
      <c r="H68" s="169"/>
      <c r="I68" s="113"/>
      <c r="J68" s="113"/>
      <c r="K68" s="113"/>
    </row>
    <row r="69" spans="1:11" hidden="1">
      <c r="A69" s="124"/>
      <c r="B69" s="725"/>
      <c r="C69" s="726"/>
      <c r="D69" s="125"/>
      <c r="E69" s="125"/>
      <c r="F69" s="169">
        <f t="shared" si="3"/>
        <v>0</v>
      </c>
      <c r="G69" s="169"/>
      <c r="H69" s="169"/>
      <c r="I69" s="113"/>
      <c r="J69" s="113"/>
      <c r="K69" s="113"/>
    </row>
    <row r="70" spans="1:11" hidden="1">
      <c r="A70" s="124"/>
      <c r="B70" s="725"/>
      <c r="C70" s="726"/>
      <c r="D70" s="125"/>
      <c r="E70" s="125"/>
      <c r="F70" s="169">
        <f t="shared" si="3"/>
        <v>0</v>
      </c>
      <c r="G70" s="169"/>
      <c r="H70" s="169"/>
      <c r="I70" s="113"/>
      <c r="J70" s="113"/>
      <c r="K70" s="113"/>
    </row>
    <row r="71" spans="1:11" hidden="1">
      <c r="A71" s="166"/>
      <c r="B71" s="727" t="s">
        <v>216</v>
      </c>
      <c r="C71" s="728"/>
      <c r="D71" s="167"/>
      <c r="E71" s="167"/>
      <c r="F71" s="170">
        <f>SUM(F65:F70)</f>
        <v>0</v>
      </c>
      <c r="G71" s="170">
        <f t="shared" ref="G71:H71" si="4">SUM(G65:G70)</f>
        <v>0</v>
      </c>
      <c r="H71" s="170">
        <f t="shared" si="4"/>
        <v>0</v>
      </c>
      <c r="I71" s="171"/>
      <c r="J71" s="171"/>
      <c r="K71" s="171"/>
    </row>
    <row r="72" spans="1:11" hidden="1">
      <c r="A72" s="18"/>
      <c r="B72" s="113"/>
      <c r="C72" s="113"/>
      <c r="D72" s="113"/>
      <c r="E72" s="113"/>
      <c r="F72" s="113"/>
      <c r="G72" s="113"/>
      <c r="H72" s="113"/>
      <c r="I72" s="113"/>
      <c r="J72" s="113"/>
      <c r="K72" s="113"/>
    </row>
    <row r="73" spans="1:11" hidden="1">
      <c r="A73" s="67" t="s">
        <v>236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</row>
    <row r="74" spans="1:11" hidden="1">
      <c r="A74" s="18"/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spans="1:11" ht="72.75" hidden="1">
      <c r="A75" s="126" t="s">
        <v>218</v>
      </c>
      <c r="B75" s="733" t="s">
        <v>237</v>
      </c>
      <c r="C75" s="734"/>
      <c r="D75" s="120" t="s">
        <v>238</v>
      </c>
      <c r="E75" s="120" t="s">
        <v>239</v>
      </c>
      <c r="F75" s="120" t="s">
        <v>485</v>
      </c>
      <c r="G75" s="120" t="s">
        <v>486</v>
      </c>
      <c r="H75" s="120" t="s">
        <v>487</v>
      </c>
      <c r="I75" s="113"/>
      <c r="J75" s="113"/>
      <c r="K75" s="113"/>
    </row>
    <row r="76" spans="1:11" hidden="1">
      <c r="A76" s="122">
        <v>1</v>
      </c>
      <c r="B76" s="725">
        <v>2</v>
      </c>
      <c r="C76" s="726"/>
      <c r="D76" s="122">
        <v>3</v>
      </c>
      <c r="E76" s="122">
        <v>4</v>
      </c>
      <c r="F76" s="122">
        <v>5</v>
      </c>
      <c r="G76" s="122">
        <v>6</v>
      </c>
      <c r="H76" s="122">
        <v>7</v>
      </c>
      <c r="I76" s="113"/>
      <c r="J76" s="113"/>
      <c r="K76" s="113"/>
    </row>
    <row r="77" spans="1:11" hidden="1">
      <c r="A77" s="124">
        <v>1</v>
      </c>
      <c r="B77" s="756"/>
      <c r="C77" s="757"/>
      <c r="D77" s="125"/>
      <c r="E77" s="174"/>
      <c r="F77" s="169"/>
      <c r="G77" s="169"/>
      <c r="H77" s="169"/>
      <c r="I77" s="113"/>
      <c r="J77" s="113"/>
      <c r="K77" s="113"/>
    </row>
    <row r="78" spans="1:11" hidden="1">
      <c r="A78" s="124">
        <v>2</v>
      </c>
      <c r="B78" s="756" t="s">
        <v>312</v>
      </c>
      <c r="C78" s="757"/>
      <c r="D78" s="125"/>
      <c r="E78" s="174"/>
      <c r="F78" s="169">
        <f>ROUND(D78*E78,0)</f>
        <v>0</v>
      </c>
      <c r="G78" s="169">
        <f>F78</f>
        <v>0</v>
      </c>
      <c r="H78" s="169">
        <f>G78</f>
        <v>0</v>
      </c>
      <c r="I78" s="113"/>
      <c r="J78" s="113"/>
      <c r="K78" s="113"/>
    </row>
    <row r="79" spans="1:11" hidden="1">
      <c r="A79" s="124"/>
      <c r="B79" s="725"/>
      <c r="C79" s="726"/>
      <c r="D79" s="125"/>
      <c r="E79" s="125"/>
      <c r="F79" s="169"/>
      <c r="G79" s="169"/>
      <c r="H79" s="169"/>
      <c r="I79" s="113"/>
      <c r="J79" s="113"/>
      <c r="K79" s="113"/>
    </row>
    <row r="80" spans="1:11" hidden="1">
      <c r="A80" s="124"/>
      <c r="B80" s="725"/>
      <c r="C80" s="726"/>
      <c r="D80" s="125"/>
      <c r="E80" s="125"/>
      <c r="F80" s="169"/>
      <c r="G80" s="169"/>
      <c r="H80" s="169"/>
      <c r="I80" s="113"/>
      <c r="J80" s="113"/>
      <c r="K80" s="113"/>
    </row>
    <row r="81" spans="1:11" hidden="1">
      <c r="A81" s="124"/>
      <c r="B81" s="725"/>
      <c r="C81" s="726"/>
      <c r="D81" s="125"/>
      <c r="E81" s="125"/>
      <c r="F81" s="169"/>
      <c r="G81" s="169"/>
      <c r="H81" s="169"/>
      <c r="I81" s="113"/>
      <c r="J81" s="113"/>
      <c r="K81" s="113"/>
    </row>
    <row r="82" spans="1:11" hidden="1">
      <c r="A82" s="124"/>
      <c r="B82" s="725"/>
      <c r="C82" s="726"/>
      <c r="D82" s="125"/>
      <c r="E82" s="125"/>
      <c r="F82" s="169"/>
      <c r="G82" s="169"/>
      <c r="H82" s="169"/>
      <c r="I82" s="113"/>
      <c r="J82" s="113"/>
      <c r="K82" s="113"/>
    </row>
    <row r="83" spans="1:11" hidden="1">
      <c r="A83" s="166"/>
      <c r="B83" s="727" t="s">
        <v>216</v>
      </c>
      <c r="C83" s="728"/>
      <c r="D83" s="167"/>
      <c r="E83" s="167"/>
      <c r="F83" s="170">
        <f>SUM(F77:F82)</f>
        <v>0</v>
      </c>
      <c r="G83" s="170">
        <f t="shared" ref="G83:H83" si="5">SUM(G77:G82)</f>
        <v>0</v>
      </c>
      <c r="H83" s="170">
        <f t="shared" si="5"/>
        <v>0</v>
      </c>
      <c r="I83" s="171"/>
      <c r="J83" s="171"/>
      <c r="K83" s="171"/>
    </row>
    <row r="84" spans="1:11" hidden="1">
      <c r="A84" s="18"/>
      <c r="B84" s="113"/>
      <c r="C84" s="113"/>
      <c r="D84" s="113"/>
      <c r="E84" s="113"/>
      <c r="F84" s="113"/>
      <c r="G84" s="113"/>
      <c r="H84" s="113"/>
      <c r="I84" s="113"/>
      <c r="J84" s="113"/>
      <c r="K84" s="113"/>
    </row>
    <row r="85" spans="1:11" hidden="1">
      <c r="A85" s="758" t="s">
        <v>240</v>
      </c>
      <c r="B85" s="758"/>
      <c r="C85" s="758"/>
      <c r="D85" s="758"/>
      <c r="E85" s="758"/>
      <c r="F85" s="758"/>
      <c r="G85" s="758"/>
      <c r="H85" s="758"/>
      <c r="I85" s="113"/>
      <c r="J85" s="113"/>
      <c r="K85" s="113"/>
    </row>
    <row r="86" spans="1:11" hidden="1">
      <c r="A86" s="18"/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spans="1:11" ht="48.75" hidden="1">
      <c r="A87" s="126" t="s">
        <v>218</v>
      </c>
      <c r="B87" s="733" t="s">
        <v>0</v>
      </c>
      <c r="C87" s="734"/>
      <c r="D87" s="120" t="s">
        <v>241</v>
      </c>
      <c r="E87" s="120" t="s">
        <v>235</v>
      </c>
      <c r="F87" s="120" t="s">
        <v>242</v>
      </c>
      <c r="G87" s="120" t="s">
        <v>242</v>
      </c>
      <c r="H87" s="120" t="s">
        <v>242</v>
      </c>
      <c r="I87" s="113"/>
      <c r="J87" s="113"/>
      <c r="K87" s="113"/>
    </row>
    <row r="88" spans="1:11" hidden="1">
      <c r="A88" s="122">
        <v>1</v>
      </c>
      <c r="B88" s="725">
        <v>2</v>
      </c>
      <c r="C88" s="726"/>
      <c r="D88" s="122">
        <v>3</v>
      </c>
      <c r="E88" s="122">
        <v>4</v>
      </c>
      <c r="F88" s="122">
        <v>5</v>
      </c>
      <c r="G88" s="122">
        <v>6</v>
      </c>
      <c r="H88" s="122">
        <v>7</v>
      </c>
      <c r="I88" s="113"/>
      <c r="J88" s="113"/>
      <c r="K88" s="113"/>
    </row>
    <row r="89" spans="1:11" hidden="1">
      <c r="A89" s="124"/>
      <c r="B89" s="725"/>
      <c r="C89" s="726"/>
      <c r="D89" s="125"/>
      <c r="E89" s="125"/>
      <c r="F89" s="125"/>
      <c r="G89" s="125"/>
      <c r="H89" s="125"/>
      <c r="I89" s="113"/>
      <c r="J89" s="113"/>
      <c r="K89" s="113"/>
    </row>
    <row r="90" spans="1:11" hidden="1">
      <c r="A90" s="124"/>
      <c r="B90" s="725"/>
      <c r="C90" s="726"/>
      <c r="D90" s="125"/>
      <c r="E90" s="125"/>
      <c r="F90" s="125"/>
      <c r="G90" s="125"/>
      <c r="H90" s="125"/>
      <c r="I90" s="113"/>
      <c r="J90" s="113"/>
      <c r="K90" s="113"/>
    </row>
    <row r="91" spans="1:11" hidden="1">
      <c r="A91" s="124"/>
      <c r="B91" s="725"/>
      <c r="C91" s="726"/>
      <c r="D91" s="125"/>
      <c r="E91" s="125"/>
      <c r="F91" s="125"/>
      <c r="G91" s="125"/>
      <c r="H91" s="125"/>
      <c r="I91" s="113"/>
      <c r="J91" s="113"/>
      <c r="K91" s="113"/>
    </row>
    <row r="92" spans="1:11" hidden="1">
      <c r="A92" s="124"/>
      <c r="B92" s="725"/>
      <c r="C92" s="726"/>
      <c r="D92" s="125"/>
      <c r="E92" s="125"/>
      <c r="F92" s="125"/>
      <c r="G92" s="125"/>
      <c r="H92" s="125"/>
      <c r="I92" s="113"/>
      <c r="J92" s="113"/>
      <c r="K92" s="113"/>
    </row>
    <row r="93" spans="1:11" hidden="1">
      <c r="A93" s="124"/>
      <c r="B93" s="725"/>
      <c r="C93" s="726"/>
      <c r="D93" s="125"/>
      <c r="E93" s="125"/>
      <c r="F93" s="125"/>
      <c r="G93" s="125"/>
      <c r="H93" s="125"/>
      <c r="I93" s="113"/>
      <c r="J93" s="113"/>
      <c r="K93" s="113"/>
    </row>
    <row r="94" spans="1:11" hidden="1">
      <c r="A94" s="124"/>
      <c r="B94" s="725"/>
      <c r="C94" s="726"/>
      <c r="D94" s="125"/>
      <c r="E94" s="125"/>
      <c r="F94" s="125"/>
      <c r="G94" s="125"/>
      <c r="H94" s="125"/>
      <c r="I94" s="113"/>
      <c r="J94" s="113"/>
      <c r="K94" s="113"/>
    </row>
    <row r="95" spans="1:11" hidden="1">
      <c r="A95" s="124"/>
      <c r="B95" s="725" t="s">
        <v>216</v>
      </c>
      <c r="C95" s="726"/>
      <c r="D95" s="125"/>
      <c r="E95" s="125"/>
      <c r="F95" s="125"/>
      <c r="G95" s="125"/>
      <c r="H95" s="125"/>
      <c r="I95" s="113"/>
      <c r="J95" s="113"/>
      <c r="K95" s="113"/>
    </row>
    <row r="96" spans="1:11" hidden="1">
      <c r="A96" s="18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1" hidden="1">
      <c r="A97" s="67" t="s">
        <v>243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idden="1">
      <c r="A98" s="67" t="s">
        <v>244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</row>
    <row r="99" spans="1:11" hidden="1">
      <c r="A99" s="18"/>
      <c r="B99" s="113"/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1:11" ht="36.75" hidden="1">
      <c r="A100" s="126" t="s">
        <v>218</v>
      </c>
      <c r="B100" s="733" t="s">
        <v>313</v>
      </c>
      <c r="C100" s="734"/>
      <c r="D100" s="120" t="s">
        <v>245</v>
      </c>
      <c r="E100" s="120" t="s">
        <v>246</v>
      </c>
      <c r="F100" s="120" t="s">
        <v>247</v>
      </c>
      <c r="G100" s="120" t="s">
        <v>484</v>
      </c>
      <c r="H100" s="120" t="s">
        <v>303</v>
      </c>
      <c r="I100" s="120" t="s">
        <v>304</v>
      </c>
      <c r="J100" s="113"/>
      <c r="K100" s="113"/>
    </row>
    <row r="101" spans="1:11" hidden="1">
      <c r="A101" s="122">
        <v>1</v>
      </c>
      <c r="B101" s="725">
        <v>2</v>
      </c>
      <c r="C101" s="726"/>
      <c r="D101" s="122">
        <v>3</v>
      </c>
      <c r="E101" s="122">
        <v>4</v>
      </c>
      <c r="F101" s="122">
        <v>5</v>
      </c>
      <c r="G101" s="122">
        <v>6</v>
      </c>
      <c r="H101" s="122">
        <v>7</v>
      </c>
      <c r="I101" s="122">
        <v>8</v>
      </c>
      <c r="J101" s="113"/>
      <c r="K101" s="113"/>
    </row>
    <row r="102" spans="1:11" hidden="1">
      <c r="A102" s="124"/>
      <c r="B102" s="756" t="s">
        <v>504</v>
      </c>
      <c r="C102" s="757"/>
      <c r="D102" s="125"/>
      <c r="E102" s="125"/>
      <c r="F102" s="125"/>
      <c r="G102" s="169"/>
      <c r="H102" s="169"/>
      <c r="I102" s="169"/>
      <c r="J102" s="113"/>
      <c r="K102" s="113"/>
    </row>
    <row r="103" spans="1:11" hidden="1">
      <c r="A103" s="124"/>
      <c r="B103" s="334" t="s">
        <v>316</v>
      </c>
      <c r="C103" s="335"/>
      <c r="D103" s="125"/>
      <c r="E103" s="125"/>
      <c r="F103" s="125"/>
      <c r="G103" s="169"/>
      <c r="H103" s="169"/>
      <c r="I103" s="169"/>
      <c r="J103" s="113"/>
      <c r="K103" s="113"/>
    </row>
    <row r="104" spans="1:11" hidden="1">
      <c r="A104" s="124"/>
      <c r="B104" s="725"/>
      <c r="C104" s="726"/>
      <c r="D104" s="125"/>
      <c r="E104" s="125"/>
      <c r="F104" s="125"/>
      <c r="G104" s="169"/>
      <c r="H104" s="169"/>
      <c r="I104" s="169"/>
      <c r="J104" s="113"/>
      <c r="K104" s="113"/>
    </row>
    <row r="105" spans="1:11" hidden="1">
      <c r="A105" s="124"/>
      <c r="B105" s="725"/>
      <c r="C105" s="726"/>
      <c r="D105" s="125"/>
      <c r="E105" s="125"/>
      <c r="F105" s="125"/>
      <c r="G105" s="169"/>
      <c r="H105" s="169"/>
      <c r="I105" s="169"/>
      <c r="J105" s="113"/>
      <c r="K105" s="113"/>
    </row>
    <row r="106" spans="1:11" hidden="1">
      <c r="A106" s="166"/>
      <c r="B106" s="727" t="s">
        <v>216</v>
      </c>
      <c r="C106" s="728"/>
      <c r="D106" s="167"/>
      <c r="E106" s="167"/>
      <c r="F106" s="167"/>
      <c r="G106" s="170">
        <f>ROUND(SUM(G102:G105),0)</f>
        <v>0</v>
      </c>
      <c r="H106" s="170">
        <f t="shared" ref="H106:I106" si="6">ROUND(SUM(H102:H105),0)</f>
        <v>0</v>
      </c>
      <c r="I106" s="170">
        <f t="shared" si="6"/>
        <v>0</v>
      </c>
      <c r="J106" s="171"/>
      <c r="K106" s="171"/>
    </row>
    <row r="107" spans="1:11" hidden="1">
      <c r="A107" s="18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1:11" hidden="1">
      <c r="A108" s="67" t="s">
        <v>248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</row>
    <row r="109" spans="1:11" hidden="1">
      <c r="A109" s="18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ht="48.75" hidden="1">
      <c r="A110" s="126" t="s">
        <v>218</v>
      </c>
      <c r="B110" s="733" t="s">
        <v>237</v>
      </c>
      <c r="C110" s="734"/>
      <c r="D110" s="120" t="s">
        <v>249</v>
      </c>
      <c r="E110" s="120" t="s">
        <v>250</v>
      </c>
      <c r="F110" s="120" t="s">
        <v>484</v>
      </c>
      <c r="G110" s="120" t="s">
        <v>303</v>
      </c>
      <c r="H110" s="120" t="s">
        <v>304</v>
      </c>
      <c r="I110" s="113"/>
      <c r="J110" s="113"/>
      <c r="K110" s="113"/>
    </row>
    <row r="111" spans="1:11" hidden="1">
      <c r="A111" s="122">
        <v>1</v>
      </c>
      <c r="B111" s="725">
        <v>2</v>
      </c>
      <c r="C111" s="726"/>
      <c r="D111" s="122">
        <v>3</v>
      </c>
      <c r="E111" s="122">
        <v>4</v>
      </c>
      <c r="F111" s="122">
        <v>5</v>
      </c>
      <c r="G111" s="122">
        <v>6</v>
      </c>
      <c r="H111" s="122">
        <v>7</v>
      </c>
      <c r="I111" s="113"/>
      <c r="J111" s="113"/>
      <c r="K111" s="113"/>
    </row>
    <row r="112" spans="1:11" hidden="1">
      <c r="A112" s="124">
        <v>1</v>
      </c>
      <c r="B112" s="725"/>
      <c r="C112" s="726"/>
      <c r="D112" s="125"/>
      <c r="E112" s="125"/>
      <c r="F112" s="125">
        <f>D112*E112</f>
        <v>0</v>
      </c>
      <c r="G112" s="125"/>
      <c r="H112" s="125"/>
      <c r="I112" s="113"/>
      <c r="J112" s="113"/>
      <c r="K112" s="113"/>
    </row>
    <row r="113" spans="1:11" hidden="1">
      <c r="A113" s="124"/>
      <c r="B113" s="725"/>
      <c r="C113" s="726"/>
      <c r="D113" s="125"/>
      <c r="E113" s="125"/>
      <c r="F113" s="125">
        <f t="shared" ref="F113:F117" si="7">D113*E113</f>
        <v>0</v>
      </c>
      <c r="G113" s="125"/>
      <c r="H113" s="125"/>
      <c r="I113" s="113"/>
      <c r="J113" s="113"/>
      <c r="K113" s="113"/>
    </row>
    <row r="114" spans="1:11" hidden="1">
      <c r="A114" s="124"/>
      <c r="B114" s="725"/>
      <c r="C114" s="726"/>
      <c r="D114" s="125"/>
      <c r="E114" s="125"/>
      <c r="F114" s="125">
        <f t="shared" si="7"/>
        <v>0</v>
      </c>
      <c r="G114" s="125"/>
      <c r="H114" s="125"/>
      <c r="I114" s="113"/>
      <c r="J114" s="113"/>
      <c r="K114" s="113"/>
    </row>
    <row r="115" spans="1:11" hidden="1">
      <c r="A115" s="124"/>
      <c r="B115" s="725"/>
      <c r="C115" s="726"/>
      <c r="D115" s="125"/>
      <c r="E115" s="125"/>
      <c r="F115" s="125">
        <f t="shared" si="7"/>
        <v>0</v>
      </c>
      <c r="G115" s="125"/>
      <c r="H115" s="125"/>
      <c r="I115" s="113"/>
      <c r="J115" s="113"/>
      <c r="K115" s="113"/>
    </row>
    <row r="116" spans="1:11" hidden="1">
      <c r="A116" s="124"/>
      <c r="B116" s="725"/>
      <c r="C116" s="726"/>
      <c r="D116" s="125"/>
      <c r="E116" s="125"/>
      <c r="F116" s="125">
        <f t="shared" si="7"/>
        <v>0</v>
      </c>
      <c r="G116" s="125"/>
      <c r="H116" s="125"/>
      <c r="I116" s="113"/>
      <c r="J116" s="113"/>
      <c r="K116" s="113"/>
    </row>
    <row r="117" spans="1:11" hidden="1">
      <c r="A117" s="124"/>
      <c r="B117" s="725"/>
      <c r="C117" s="726"/>
      <c r="D117" s="125"/>
      <c r="E117" s="125"/>
      <c r="F117" s="125">
        <f t="shared" si="7"/>
        <v>0</v>
      </c>
      <c r="G117" s="125"/>
      <c r="H117" s="125"/>
      <c r="I117" s="113"/>
      <c r="J117" s="113"/>
      <c r="K117" s="113"/>
    </row>
    <row r="118" spans="1:11" hidden="1">
      <c r="A118" s="166"/>
      <c r="B118" s="727" t="s">
        <v>216</v>
      </c>
      <c r="C118" s="728"/>
      <c r="D118" s="167"/>
      <c r="E118" s="167"/>
      <c r="F118" s="167">
        <f>SUM(F112:F117)</f>
        <v>0</v>
      </c>
      <c r="G118" s="167">
        <f t="shared" ref="G118:H118" si="8">SUM(G112:G117)</f>
        <v>0</v>
      </c>
      <c r="H118" s="167">
        <f t="shared" si="8"/>
        <v>0</v>
      </c>
      <c r="I118" s="171"/>
      <c r="J118" s="171"/>
      <c r="K118" s="171"/>
    </row>
    <row r="119" spans="1:11" hidden="1">
      <c r="A119" s="18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1:11" hidden="1">
      <c r="A120" s="67" t="s">
        <v>251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1:11" hidden="1">
      <c r="A121" s="18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1:11" ht="48.75" hidden="1">
      <c r="A122" s="126" t="s">
        <v>218</v>
      </c>
      <c r="B122" s="733" t="s">
        <v>0</v>
      </c>
      <c r="C122" s="734"/>
      <c r="D122" s="120" t="s">
        <v>252</v>
      </c>
      <c r="E122" s="120" t="s">
        <v>253</v>
      </c>
      <c r="F122" s="120" t="s">
        <v>254</v>
      </c>
      <c r="G122" s="120" t="s">
        <v>484</v>
      </c>
      <c r="H122" s="120" t="s">
        <v>303</v>
      </c>
      <c r="I122" s="120" t="s">
        <v>304</v>
      </c>
      <c r="J122" s="113"/>
      <c r="K122" s="113"/>
    </row>
    <row r="123" spans="1:11" hidden="1">
      <c r="A123" s="122">
        <v>1</v>
      </c>
      <c r="B123" s="725">
        <v>2</v>
      </c>
      <c r="C123" s="726"/>
      <c r="D123" s="122">
        <v>3</v>
      </c>
      <c r="E123" s="122">
        <v>4</v>
      </c>
      <c r="F123" s="122">
        <v>5</v>
      </c>
      <c r="G123" s="122">
        <v>6</v>
      </c>
      <c r="H123" s="122">
        <v>7</v>
      </c>
      <c r="I123" s="122">
        <v>8</v>
      </c>
      <c r="J123" s="113"/>
      <c r="K123" s="113"/>
    </row>
    <row r="124" spans="1:11" hidden="1">
      <c r="A124" s="124"/>
      <c r="B124" s="750"/>
      <c r="C124" s="751"/>
      <c r="D124" s="125"/>
      <c r="E124" s="125"/>
      <c r="F124" s="125"/>
      <c r="G124" s="343"/>
      <c r="H124" s="343"/>
      <c r="I124" s="343"/>
      <c r="J124" s="113"/>
      <c r="K124" s="113"/>
    </row>
    <row r="125" spans="1:11" hidden="1">
      <c r="A125" s="124"/>
      <c r="B125" s="748"/>
      <c r="C125" s="749"/>
      <c r="D125" s="125"/>
      <c r="E125" s="125"/>
      <c r="F125" s="125"/>
      <c r="G125" s="343"/>
      <c r="H125" s="343"/>
      <c r="I125" s="343"/>
      <c r="J125" s="113"/>
      <c r="K125" s="113"/>
    </row>
    <row r="126" spans="1:11" hidden="1">
      <c r="A126" s="124"/>
      <c r="B126" s="750"/>
      <c r="C126" s="751"/>
      <c r="D126" s="125"/>
      <c r="E126" s="346"/>
      <c r="F126" s="125"/>
      <c r="G126" s="343"/>
      <c r="H126" s="343"/>
      <c r="I126" s="343"/>
      <c r="J126" s="113"/>
      <c r="K126" s="113"/>
    </row>
    <row r="127" spans="1:11" hidden="1">
      <c r="A127" s="124"/>
      <c r="B127" s="748"/>
      <c r="C127" s="772"/>
      <c r="D127" s="773"/>
      <c r="E127" s="773"/>
      <c r="F127" s="774"/>
      <c r="G127" s="343"/>
      <c r="H127" s="343"/>
      <c r="I127" s="343"/>
      <c r="J127" s="113"/>
      <c r="K127" s="113"/>
    </row>
    <row r="128" spans="1:11" hidden="1">
      <c r="A128" s="124"/>
      <c r="B128" s="750"/>
      <c r="C128" s="751"/>
      <c r="D128" s="125"/>
      <c r="E128" s="125"/>
      <c r="F128" s="125"/>
      <c r="G128" s="343"/>
      <c r="H128" s="343"/>
      <c r="I128" s="343"/>
      <c r="J128" s="113"/>
      <c r="K128" s="113"/>
    </row>
    <row r="129" spans="1:11" hidden="1">
      <c r="A129" s="124"/>
      <c r="B129" s="363"/>
      <c r="C129" s="364"/>
      <c r="D129" s="125"/>
      <c r="E129" s="125"/>
      <c r="F129" s="125"/>
      <c r="G129" s="343"/>
      <c r="H129" s="343"/>
      <c r="I129" s="343"/>
      <c r="J129" s="113"/>
      <c r="K129" s="113"/>
    </row>
    <row r="130" spans="1:11" hidden="1">
      <c r="A130" s="124"/>
      <c r="B130" s="775"/>
      <c r="C130" s="751"/>
      <c r="D130" s="125"/>
      <c r="E130" s="125"/>
      <c r="F130" s="125"/>
      <c r="G130" s="343"/>
      <c r="H130" s="343"/>
      <c r="I130" s="343"/>
      <c r="J130" s="113"/>
      <c r="K130" s="113"/>
    </row>
    <row r="131" spans="1:11" hidden="1">
      <c r="A131" s="124"/>
      <c r="B131" s="365"/>
      <c r="C131" s="366"/>
      <c r="D131" s="125"/>
      <c r="E131" s="125"/>
      <c r="F131" s="125"/>
      <c r="G131" s="343"/>
      <c r="H131" s="343"/>
      <c r="I131" s="343"/>
      <c r="J131" s="113"/>
      <c r="K131" s="113"/>
    </row>
    <row r="132" spans="1:11" hidden="1">
      <c r="A132" s="166"/>
      <c r="B132" s="727" t="s">
        <v>216</v>
      </c>
      <c r="C132" s="728"/>
      <c r="D132" s="167"/>
      <c r="E132" s="167"/>
      <c r="F132" s="167"/>
      <c r="G132" s="367">
        <f>SUM(G124:G131)</f>
        <v>0</v>
      </c>
      <c r="H132" s="367">
        <f>SUM(H124:H131)</f>
        <v>0</v>
      </c>
      <c r="I132" s="367">
        <f>SUM(I124:I131)</f>
        <v>0</v>
      </c>
      <c r="J132" s="171"/>
      <c r="K132" s="171"/>
    </row>
    <row r="133" spans="1:11" hidden="1">
      <c r="A133" s="18"/>
      <c r="B133" s="113"/>
      <c r="C133" s="113"/>
      <c r="D133" s="113"/>
      <c r="E133" s="113"/>
      <c r="F133" s="113"/>
      <c r="G133" s="368"/>
      <c r="H133" s="368"/>
      <c r="I133" s="368"/>
      <c r="J133" s="113"/>
      <c r="K133" s="113"/>
    </row>
    <row r="134" spans="1:11" hidden="1">
      <c r="A134" s="67" t="s">
        <v>255</v>
      </c>
      <c r="B134" s="117"/>
      <c r="C134" s="117"/>
      <c r="D134" s="117"/>
      <c r="E134" s="117"/>
      <c r="F134" s="117"/>
      <c r="G134" s="362"/>
      <c r="H134" s="362"/>
      <c r="I134" s="362"/>
      <c r="J134" s="117"/>
      <c r="K134" s="117"/>
    </row>
    <row r="135" spans="1:11" hidden="1">
      <c r="A135" s="18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1:11" ht="60.75" hidden="1">
      <c r="A136" s="126" t="s">
        <v>218</v>
      </c>
      <c r="B136" s="733" t="s">
        <v>0</v>
      </c>
      <c r="C136" s="734"/>
      <c r="D136" s="120" t="s">
        <v>256</v>
      </c>
      <c r="E136" s="120" t="s">
        <v>257</v>
      </c>
      <c r="F136" s="120" t="s">
        <v>258</v>
      </c>
      <c r="G136" s="120" t="s">
        <v>258</v>
      </c>
      <c r="H136" s="120" t="s">
        <v>258</v>
      </c>
      <c r="I136" s="113"/>
      <c r="J136" s="113"/>
      <c r="K136" s="113"/>
    </row>
    <row r="137" spans="1:11" hidden="1">
      <c r="A137" s="122">
        <v>1</v>
      </c>
      <c r="B137" s="725">
        <v>2</v>
      </c>
      <c r="C137" s="726"/>
      <c r="D137" s="122">
        <v>3</v>
      </c>
      <c r="E137" s="122">
        <v>4</v>
      </c>
      <c r="F137" s="122">
        <v>5</v>
      </c>
      <c r="G137" s="122">
        <v>6</v>
      </c>
      <c r="H137" s="122">
        <v>7</v>
      </c>
      <c r="I137" s="113"/>
      <c r="J137" s="113"/>
      <c r="K137" s="113"/>
    </row>
    <row r="138" spans="1:11" hidden="1">
      <c r="A138" s="124"/>
      <c r="B138" s="725"/>
      <c r="C138" s="726"/>
      <c r="D138" s="125"/>
      <c r="E138" s="125"/>
      <c r="F138" s="125"/>
      <c r="G138" s="125"/>
      <c r="H138" s="125"/>
      <c r="I138" s="113"/>
      <c r="J138" s="113"/>
      <c r="K138" s="113"/>
    </row>
    <row r="139" spans="1:11" hidden="1">
      <c r="A139" s="124"/>
      <c r="B139" s="725"/>
      <c r="C139" s="726"/>
      <c r="D139" s="125"/>
      <c r="E139" s="125"/>
      <c r="F139" s="125"/>
      <c r="G139" s="125"/>
      <c r="H139" s="125"/>
      <c r="I139" s="113"/>
      <c r="J139" s="113"/>
      <c r="K139" s="113"/>
    </row>
    <row r="140" spans="1:11" hidden="1">
      <c r="A140" s="124"/>
      <c r="B140" s="725"/>
      <c r="C140" s="726"/>
      <c r="D140" s="125"/>
      <c r="E140" s="125"/>
      <c r="F140" s="125"/>
      <c r="G140" s="125"/>
      <c r="H140" s="125"/>
      <c r="I140" s="113"/>
      <c r="J140" s="113"/>
      <c r="K140" s="113"/>
    </row>
    <row r="141" spans="1:11" hidden="1">
      <c r="A141" s="124"/>
      <c r="B141" s="725"/>
      <c r="C141" s="726"/>
      <c r="D141" s="125"/>
      <c r="E141" s="125"/>
      <c r="F141" s="125"/>
      <c r="G141" s="125"/>
      <c r="H141" s="125"/>
      <c r="I141" s="113"/>
      <c r="J141" s="113"/>
      <c r="K141" s="113"/>
    </row>
    <row r="142" spans="1:11" hidden="1">
      <c r="A142" s="124"/>
      <c r="B142" s="725"/>
      <c r="C142" s="726"/>
      <c r="D142" s="125"/>
      <c r="E142" s="125"/>
      <c r="F142" s="125"/>
      <c r="G142" s="125"/>
      <c r="H142" s="125"/>
      <c r="I142" s="113"/>
      <c r="J142" s="113"/>
      <c r="K142" s="113"/>
    </row>
    <row r="143" spans="1:11" hidden="1">
      <c r="A143" s="124"/>
      <c r="B143" s="725"/>
      <c r="C143" s="726"/>
      <c r="D143" s="125"/>
      <c r="E143" s="125"/>
      <c r="F143" s="125"/>
      <c r="G143" s="125"/>
      <c r="H143" s="125"/>
      <c r="I143" s="113"/>
      <c r="J143" s="113"/>
      <c r="K143" s="113"/>
    </row>
    <row r="144" spans="1:11" hidden="1">
      <c r="A144" s="166"/>
      <c r="B144" s="727" t="s">
        <v>216</v>
      </c>
      <c r="C144" s="728"/>
      <c r="D144" s="167"/>
      <c r="E144" s="167"/>
      <c r="F144" s="167">
        <f>SUM(F138:F143)</f>
        <v>0</v>
      </c>
      <c r="G144" s="167">
        <f t="shared" ref="G144:H144" si="9">SUM(G138:G143)</f>
        <v>0</v>
      </c>
      <c r="H144" s="167">
        <f t="shared" si="9"/>
        <v>0</v>
      </c>
      <c r="I144" s="171"/>
      <c r="J144" s="171"/>
      <c r="K144" s="171"/>
    </row>
    <row r="145" spans="1:11" hidden="1">
      <c r="A145" s="18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1:11" hidden="1">
      <c r="A146" s="67" t="s">
        <v>259</v>
      </c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</row>
    <row r="147" spans="1:11" hidden="1">
      <c r="A147" s="18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1:11" ht="36.75" hidden="1">
      <c r="A148" s="126" t="s">
        <v>218</v>
      </c>
      <c r="B148" s="733" t="s">
        <v>0</v>
      </c>
      <c r="C148" s="734"/>
      <c r="D148" s="120" t="s">
        <v>260</v>
      </c>
      <c r="E148" s="120" t="s">
        <v>261</v>
      </c>
      <c r="F148" s="120" t="s">
        <v>484</v>
      </c>
      <c r="G148" s="120" t="s">
        <v>303</v>
      </c>
      <c r="H148" s="120" t="s">
        <v>304</v>
      </c>
      <c r="I148" s="113"/>
      <c r="J148" s="113"/>
      <c r="K148" s="113"/>
    </row>
    <row r="149" spans="1:11" hidden="1">
      <c r="A149" s="122">
        <v>1</v>
      </c>
      <c r="B149" s="725">
        <v>2</v>
      </c>
      <c r="C149" s="726"/>
      <c r="D149" s="122">
        <v>3</v>
      </c>
      <c r="E149" s="122">
        <v>4</v>
      </c>
      <c r="F149" s="122">
        <v>5</v>
      </c>
      <c r="G149" s="122">
        <v>6</v>
      </c>
      <c r="H149" s="122">
        <v>7</v>
      </c>
      <c r="I149" s="113"/>
      <c r="J149" s="113"/>
      <c r="K149" s="113"/>
    </row>
    <row r="150" spans="1:11" hidden="1">
      <c r="A150" s="369"/>
      <c r="B150" s="744"/>
      <c r="C150" s="745"/>
      <c r="D150" s="125"/>
      <c r="E150" s="125"/>
      <c r="F150" s="125"/>
      <c r="G150" s="125"/>
      <c r="H150" s="125"/>
      <c r="I150" s="113"/>
      <c r="J150" s="113"/>
      <c r="K150" s="113"/>
    </row>
    <row r="151" spans="1:11" hidden="1">
      <c r="A151" s="124"/>
      <c r="B151" s="739"/>
      <c r="C151" s="740"/>
      <c r="D151" s="125"/>
      <c r="E151" s="125"/>
      <c r="F151" s="125"/>
      <c r="G151" s="125"/>
      <c r="H151" s="125"/>
      <c r="I151" s="113"/>
      <c r="J151" s="113"/>
      <c r="K151" s="113"/>
    </row>
    <row r="152" spans="1:11" hidden="1">
      <c r="A152" s="369"/>
      <c r="B152" s="744"/>
      <c r="C152" s="741"/>
      <c r="D152" s="125"/>
      <c r="E152" s="125"/>
      <c r="F152" s="125"/>
      <c r="G152" s="125"/>
      <c r="H152" s="125"/>
      <c r="I152" s="113"/>
      <c r="J152" s="113"/>
      <c r="K152" s="113"/>
    </row>
    <row r="153" spans="1:11" hidden="1">
      <c r="A153" s="124"/>
      <c r="B153" s="739"/>
      <c r="C153" s="740"/>
      <c r="D153" s="125"/>
      <c r="E153" s="125"/>
      <c r="F153" s="125"/>
      <c r="G153" s="125"/>
      <c r="H153" s="125"/>
      <c r="I153" s="113"/>
      <c r="J153" s="113"/>
      <c r="K153" s="113"/>
    </row>
    <row r="154" spans="1:11" hidden="1">
      <c r="A154" s="369"/>
      <c r="B154" s="744"/>
      <c r="C154" s="746"/>
      <c r="D154" s="125"/>
      <c r="E154" s="125"/>
      <c r="F154" s="125"/>
      <c r="G154" s="125"/>
      <c r="H154" s="125"/>
      <c r="I154" s="113"/>
      <c r="J154" s="113"/>
      <c r="K154" s="113"/>
    </row>
    <row r="155" spans="1:11" hidden="1">
      <c r="A155" s="124"/>
      <c r="B155" s="350"/>
      <c r="C155" s="351"/>
      <c r="D155" s="125"/>
      <c r="E155" s="125"/>
      <c r="F155" s="125"/>
      <c r="G155" s="125"/>
      <c r="H155" s="125"/>
      <c r="I155" s="113"/>
      <c r="J155" s="113"/>
      <c r="K155" s="113"/>
    </row>
    <row r="156" spans="1:11" hidden="1">
      <c r="A156" s="124"/>
      <c r="B156" s="350"/>
      <c r="C156" s="351"/>
      <c r="D156" s="125"/>
      <c r="E156" s="125"/>
      <c r="F156" s="125"/>
      <c r="G156" s="125"/>
      <c r="H156" s="125"/>
      <c r="I156" s="113"/>
      <c r="J156" s="113"/>
      <c r="K156" s="113"/>
    </row>
    <row r="157" spans="1:11" hidden="1">
      <c r="A157" s="369"/>
      <c r="B157" s="744"/>
      <c r="C157" s="746"/>
      <c r="D157" s="125"/>
      <c r="E157" s="125"/>
      <c r="F157" s="125"/>
      <c r="G157" s="125"/>
      <c r="H157" s="125"/>
      <c r="I157" s="113"/>
      <c r="J157" s="113"/>
      <c r="K157" s="113"/>
    </row>
    <row r="158" spans="1:11" hidden="1">
      <c r="A158" s="124"/>
      <c r="B158" s="350"/>
      <c r="C158" s="351"/>
      <c r="D158" s="125"/>
      <c r="E158" s="125"/>
      <c r="F158" s="125"/>
      <c r="G158" s="125"/>
      <c r="H158" s="125"/>
      <c r="I158" s="113"/>
      <c r="J158" s="113"/>
      <c r="K158" s="113"/>
    </row>
    <row r="159" spans="1:11" hidden="1">
      <c r="A159" s="369"/>
      <c r="B159" s="744"/>
      <c r="C159" s="746"/>
      <c r="D159" s="125"/>
      <c r="E159" s="125"/>
      <c r="F159" s="125"/>
      <c r="G159" s="125"/>
      <c r="H159" s="125"/>
      <c r="I159" s="113"/>
      <c r="J159" s="113"/>
      <c r="K159" s="113"/>
    </row>
    <row r="160" spans="1:11" hidden="1">
      <c r="A160" s="124"/>
      <c r="B160" s="350"/>
      <c r="C160" s="351"/>
      <c r="D160" s="125"/>
      <c r="E160" s="125"/>
      <c r="F160" s="125"/>
      <c r="G160" s="125"/>
      <c r="H160" s="125"/>
      <c r="I160" s="113"/>
      <c r="J160" s="113"/>
      <c r="K160" s="113"/>
    </row>
    <row r="161" spans="1:11" hidden="1">
      <c r="A161" s="369"/>
      <c r="B161" s="744"/>
      <c r="C161" s="746"/>
      <c r="D161" s="125"/>
      <c r="E161" s="125"/>
      <c r="F161" s="125"/>
      <c r="G161" s="125"/>
      <c r="H161" s="125"/>
      <c r="I161" s="113"/>
      <c r="J161" s="113"/>
      <c r="K161" s="113"/>
    </row>
    <row r="162" spans="1:11" hidden="1">
      <c r="A162" s="124"/>
      <c r="B162" s="350"/>
      <c r="C162" s="351"/>
      <c r="D162" s="125"/>
      <c r="E162" s="125"/>
      <c r="F162" s="125"/>
      <c r="G162" s="125"/>
      <c r="H162" s="125"/>
      <c r="I162" s="113"/>
      <c r="J162" s="113"/>
      <c r="K162" s="113"/>
    </row>
    <row r="163" spans="1:11" hidden="1">
      <c r="A163" s="124"/>
      <c r="B163" s="350"/>
      <c r="C163" s="351"/>
      <c r="D163" s="125"/>
      <c r="E163" s="125"/>
      <c r="F163" s="125"/>
      <c r="G163" s="125"/>
      <c r="H163" s="125"/>
      <c r="I163" s="113"/>
      <c r="J163" s="113"/>
      <c r="K163" s="113"/>
    </row>
    <row r="164" spans="1:11" hidden="1">
      <c r="A164" s="369"/>
      <c r="B164" s="744"/>
      <c r="C164" s="745"/>
      <c r="D164" s="125"/>
      <c r="E164" s="125"/>
      <c r="F164" s="125"/>
      <c r="G164" s="125"/>
      <c r="H164" s="125"/>
      <c r="I164" s="113"/>
      <c r="J164" s="113"/>
      <c r="K164" s="113"/>
    </row>
    <row r="165" spans="1:11" hidden="1">
      <c r="A165" s="124"/>
      <c r="B165" s="739"/>
      <c r="C165" s="740"/>
      <c r="D165" s="125"/>
      <c r="E165" s="125"/>
      <c r="F165" s="125"/>
      <c r="G165" s="125"/>
      <c r="H165" s="125"/>
      <c r="I165" s="113"/>
      <c r="J165" s="113"/>
      <c r="K165" s="113"/>
    </row>
    <row r="166" spans="1:11" hidden="1">
      <c r="A166" s="369"/>
      <c r="B166" s="744"/>
      <c r="C166" s="745"/>
      <c r="D166" s="125"/>
      <c r="E166" s="125"/>
      <c r="F166" s="125"/>
      <c r="G166" s="125"/>
      <c r="H166" s="125"/>
      <c r="I166" s="113"/>
      <c r="J166" s="113"/>
      <c r="K166" s="113"/>
    </row>
    <row r="167" spans="1:11" hidden="1">
      <c r="A167" s="124"/>
      <c r="B167" s="739"/>
      <c r="C167" s="740"/>
      <c r="D167" s="125"/>
      <c r="E167" s="125"/>
      <c r="F167" s="125"/>
      <c r="G167" s="125"/>
      <c r="H167" s="125"/>
      <c r="I167" s="113"/>
      <c r="J167" s="113"/>
      <c r="K167" s="113"/>
    </row>
    <row r="168" spans="1:11" hidden="1">
      <c r="A168" s="369"/>
      <c r="B168" s="744"/>
      <c r="C168" s="745"/>
      <c r="D168" s="125"/>
      <c r="E168" s="125"/>
      <c r="F168" s="125"/>
      <c r="G168" s="125"/>
      <c r="H168" s="125"/>
      <c r="I168" s="113"/>
      <c r="J168" s="113"/>
      <c r="K168" s="113"/>
    </row>
    <row r="169" spans="1:11" hidden="1">
      <c r="A169" s="124"/>
      <c r="B169" s="756"/>
      <c r="C169" s="757"/>
      <c r="D169" s="125"/>
      <c r="E169" s="125"/>
      <c r="F169" s="125"/>
      <c r="G169" s="125"/>
      <c r="H169" s="125"/>
      <c r="I169" s="113"/>
      <c r="J169" s="113"/>
      <c r="K169" s="113"/>
    </row>
    <row r="170" spans="1:11" hidden="1">
      <c r="A170" s="166"/>
      <c r="B170" s="727" t="s">
        <v>216</v>
      </c>
      <c r="C170" s="728"/>
      <c r="D170" s="167"/>
      <c r="E170" s="167"/>
      <c r="F170" s="167">
        <f>SUM(F150:F169)</f>
        <v>0</v>
      </c>
      <c r="G170" s="167">
        <f>SUM(G150:G169)</f>
        <v>0</v>
      </c>
      <c r="H170" s="167">
        <f>SUM(H150:H169)</f>
        <v>0</v>
      </c>
      <c r="I170" s="171"/>
      <c r="J170" s="171"/>
      <c r="K170" s="171"/>
    </row>
    <row r="171" spans="1:11" hidden="1">
      <c r="A171" s="18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1:11">
      <c r="A172" s="67" t="s">
        <v>262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>
      <c r="A173" s="18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1:11" ht="63">
      <c r="A174" s="126" t="s">
        <v>218</v>
      </c>
      <c r="B174" s="733" t="s">
        <v>237</v>
      </c>
      <c r="C174" s="734"/>
      <c r="D174" s="415" t="s">
        <v>515</v>
      </c>
      <c r="E174" s="393" t="s">
        <v>505</v>
      </c>
      <c r="F174" s="120" t="s">
        <v>303</v>
      </c>
      <c r="G174" s="120" t="s">
        <v>304</v>
      </c>
      <c r="H174" s="120" t="s">
        <v>422</v>
      </c>
      <c r="I174" s="113"/>
      <c r="J174" s="113"/>
      <c r="K174" s="113"/>
    </row>
    <row r="175" spans="1:11">
      <c r="A175" s="122">
        <v>1</v>
      </c>
      <c r="B175" s="725">
        <v>2</v>
      </c>
      <c r="C175" s="726"/>
      <c r="D175" s="122">
        <v>3</v>
      </c>
      <c r="E175" s="122">
        <v>4</v>
      </c>
      <c r="F175" s="122">
        <v>5</v>
      </c>
      <c r="G175" s="122">
        <v>6</v>
      </c>
      <c r="H175" s="122">
        <v>7</v>
      </c>
      <c r="I175" s="113"/>
      <c r="J175" s="113"/>
      <c r="K175" s="113"/>
    </row>
    <row r="176" spans="1:11" ht="15.75">
      <c r="A176" s="370"/>
      <c r="B176" s="416" t="s">
        <v>516</v>
      </c>
      <c r="C176" s="416"/>
      <c r="D176" s="417"/>
      <c r="E176" s="418"/>
      <c r="F176" s="125"/>
      <c r="G176" s="125"/>
      <c r="H176" s="125"/>
      <c r="I176" s="113"/>
      <c r="J176" s="113"/>
      <c r="K176" s="113"/>
    </row>
    <row r="177" spans="1:11" ht="31.5">
      <c r="A177" s="370"/>
      <c r="B177" s="410" t="s">
        <v>517</v>
      </c>
      <c r="C177" s="410"/>
      <c r="D177" s="419" t="s">
        <v>519</v>
      </c>
      <c r="E177" s="411"/>
      <c r="F177" s="125"/>
      <c r="G177" s="125"/>
      <c r="H177" s="125"/>
      <c r="I177" s="113"/>
      <c r="J177" s="113"/>
      <c r="K177" s="113"/>
    </row>
    <row r="178" spans="1:11" ht="30" customHeight="1">
      <c r="A178" s="370"/>
      <c r="B178" s="410" t="s">
        <v>518</v>
      </c>
      <c r="C178" s="410"/>
      <c r="D178" s="420">
        <v>12320</v>
      </c>
      <c r="E178" s="421">
        <f>23.607*0.215</f>
        <v>5.0755049999999997</v>
      </c>
      <c r="F178" s="343">
        <f>D178*E178</f>
        <v>62530.221599999997</v>
      </c>
      <c r="G178" s="343">
        <v>66963.03</v>
      </c>
      <c r="H178" s="343">
        <v>71406.320000000007</v>
      </c>
      <c r="I178" s="113"/>
      <c r="J178" s="113"/>
      <c r="K178" s="113"/>
    </row>
    <row r="179" spans="1:11" ht="15.75">
      <c r="A179" s="370"/>
      <c r="B179" s="416"/>
      <c r="C179" s="416"/>
      <c r="D179" s="422"/>
      <c r="E179" s="418"/>
      <c r="F179" s="125"/>
      <c r="G179" s="125"/>
      <c r="H179" s="125"/>
      <c r="I179" s="113"/>
      <c r="J179" s="113"/>
      <c r="K179" s="113"/>
    </row>
    <row r="180" spans="1:11">
      <c r="A180" s="166"/>
      <c r="B180" s="727" t="s">
        <v>511</v>
      </c>
      <c r="C180" s="728"/>
      <c r="D180" s="167"/>
      <c r="E180" s="167"/>
      <c r="F180" s="349">
        <f>SUM(F176:F179)</f>
        <v>62530.221599999997</v>
      </c>
      <c r="G180" s="349">
        <f>G178</f>
        <v>66963.03</v>
      </c>
      <c r="H180" s="349">
        <f>H178</f>
        <v>71406.320000000007</v>
      </c>
      <c r="I180" s="171"/>
      <c r="J180" s="171"/>
      <c r="K180" s="171"/>
    </row>
    <row r="181" spans="1:11">
      <c r="A181" s="18"/>
      <c r="B181" s="113"/>
      <c r="C181" s="113"/>
      <c r="D181" s="113"/>
      <c r="E181" s="373"/>
      <c r="F181" s="374"/>
      <c r="G181" s="374"/>
      <c r="H181" s="375"/>
      <c r="I181" s="113"/>
      <c r="J181" s="113"/>
      <c r="K181" s="113"/>
    </row>
    <row r="182" spans="1:11" hidden="1">
      <c r="A182" s="67" t="s">
        <v>263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1:11" hidden="1">
      <c r="A183" s="18"/>
      <c r="B183" s="113"/>
      <c r="C183" s="113"/>
      <c r="D183" s="113"/>
      <c r="E183" s="113"/>
      <c r="F183" s="113"/>
      <c r="G183" s="356"/>
      <c r="H183" s="113"/>
      <c r="I183" s="113"/>
      <c r="J183" s="113"/>
      <c r="K183" s="113"/>
    </row>
    <row r="184" spans="1:11" ht="36.75" hidden="1">
      <c r="A184" s="126" t="s">
        <v>218</v>
      </c>
      <c r="B184" s="733" t="s">
        <v>237</v>
      </c>
      <c r="C184" s="734"/>
      <c r="D184" s="120" t="s">
        <v>256</v>
      </c>
      <c r="E184" s="120" t="s">
        <v>261</v>
      </c>
      <c r="F184" s="120" t="s">
        <v>484</v>
      </c>
      <c r="G184" s="120"/>
      <c r="H184" s="120" t="s">
        <v>304</v>
      </c>
      <c r="I184" s="113"/>
      <c r="J184" s="113"/>
      <c r="K184" s="113"/>
    </row>
    <row r="185" spans="1:11" hidden="1">
      <c r="A185" s="122">
        <v>1</v>
      </c>
      <c r="B185" s="725">
        <v>2</v>
      </c>
      <c r="C185" s="726"/>
      <c r="D185" s="122">
        <v>3</v>
      </c>
      <c r="E185" s="122">
        <v>4</v>
      </c>
      <c r="F185" s="122">
        <v>5</v>
      </c>
      <c r="G185" s="122">
        <v>6</v>
      </c>
      <c r="H185" s="122">
        <v>7</v>
      </c>
      <c r="I185" s="113"/>
      <c r="J185" s="113"/>
      <c r="K185" s="113"/>
    </row>
    <row r="186" spans="1:11" hidden="1">
      <c r="A186" s="376">
        <v>1</v>
      </c>
      <c r="B186" s="735"/>
      <c r="C186" s="736"/>
      <c r="D186" s="125"/>
      <c r="E186" s="125"/>
      <c r="F186" s="125"/>
      <c r="G186" s="413"/>
      <c r="H186" s="413"/>
      <c r="I186" s="113"/>
      <c r="J186" s="113"/>
      <c r="K186" s="113"/>
    </row>
    <row r="187" spans="1:11" hidden="1">
      <c r="A187" s="376">
        <v>2</v>
      </c>
      <c r="B187" s="737"/>
      <c r="C187" s="738"/>
      <c r="D187" s="125"/>
      <c r="E187" s="125"/>
      <c r="F187" s="368"/>
      <c r="G187" s="368"/>
      <c r="H187" s="368"/>
      <c r="I187" s="113"/>
      <c r="J187" s="113"/>
      <c r="K187" s="113"/>
    </row>
    <row r="188" spans="1:11" hidden="1">
      <c r="A188" s="376"/>
      <c r="B188" s="354"/>
      <c r="C188" s="355"/>
      <c r="D188" s="125"/>
      <c r="E188" s="125"/>
      <c r="F188" s="125"/>
      <c r="G188" s="125"/>
      <c r="H188" s="125"/>
      <c r="I188" s="113"/>
      <c r="J188" s="113"/>
      <c r="K188" s="113"/>
    </row>
    <row r="189" spans="1:11" hidden="1">
      <c r="A189" s="377"/>
      <c r="B189" s="331"/>
      <c r="C189" s="332"/>
      <c r="D189" s="125"/>
      <c r="E189" s="125"/>
      <c r="F189" s="125">
        <f t="shared" ref="F189:F207" si="10">D189*E189</f>
        <v>0</v>
      </c>
      <c r="G189" s="125">
        <f t="shared" ref="G189:H204" si="11">F189</f>
        <v>0</v>
      </c>
      <c r="H189" s="125">
        <f t="shared" si="11"/>
        <v>0</v>
      </c>
      <c r="I189" s="113"/>
      <c r="J189" s="113"/>
      <c r="K189" s="113"/>
    </row>
    <row r="190" spans="1:11" hidden="1">
      <c r="A190" s="377"/>
      <c r="B190" s="331"/>
      <c r="C190" s="332"/>
      <c r="D190" s="125"/>
      <c r="E190" s="125"/>
      <c r="F190" s="125">
        <f t="shared" si="10"/>
        <v>0</v>
      </c>
      <c r="G190" s="125">
        <f t="shared" si="11"/>
        <v>0</v>
      </c>
      <c r="H190" s="125">
        <f t="shared" si="11"/>
        <v>0</v>
      </c>
      <c r="I190" s="113"/>
      <c r="J190" s="113"/>
      <c r="K190" s="113"/>
    </row>
    <row r="191" spans="1:11" hidden="1">
      <c r="A191" s="130"/>
      <c r="B191" s="331"/>
      <c r="C191" s="332"/>
      <c r="D191" s="125"/>
      <c r="E191" s="125"/>
      <c r="F191" s="125">
        <f t="shared" si="10"/>
        <v>0</v>
      </c>
      <c r="G191" s="125">
        <f t="shared" si="11"/>
        <v>0</v>
      </c>
      <c r="H191" s="125">
        <f t="shared" si="11"/>
        <v>0</v>
      </c>
      <c r="I191" s="113"/>
      <c r="J191" s="113"/>
      <c r="K191" s="113"/>
    </row>
    <row r="192" spans="1:11" hidden="1">
      <c r="A192" s="130"/>
      <c r="B192" s="331"/>
      <c r="C192" s="332"/>
      <c r="D192" s="125"/>
      <c r="E192" s="125"/>
      <c r="F192" s="125">
        <f t="shared" si="10"/>
        <v>0</v>
      </c>
      <c r="G192" s="125">
        <f t="shared" si="11"/>
        <v>0</v>
      </c>
      <c r="H192" s="125">
        <f t="shared" si="11"/>
        <v>0</v>
      </c>
      <c r="I192" s="113"/>
      <c r="J192" s="113"/>
      <c r="K192" s="113"/>
    </row>
    <row r="193" spans="1:11" hidden="1">
      <c r="A193" s="130"/>
      <c r="B193" s="331"/>
      <c r="C193" s="332"/>
      <c r="D193" s="125"/>
      <c r="E193" s="125"/>
      <c r="F193" s="125">
        <f t="shared" si="10"/>
        <v>0</v>
      </c>
      <c r="G193" s="125">
        <f t="shared" si="11"/>
        <v>0</v>
      </c>
      <c r="H193" s="125">
        <f t="shared" si="11"/>
        <v>0</v>
      </c>
      <c r="I193" s="113"/>
      <c r="J193" s="113"/>
      <c r="K193" s="113"/>
    </row>
    <row r="194" spans="1:11" hidden="1">
      <c r="A194" s="130"/>
      <c r="B194" s="331"/>
      <c r="C194" s="332"/>
      <c r="D194" s="125"/>
      <c r="E194" s="125"/>
      <c r="F194" s="125">
        <f t="shared" si="10"/>
        <v>0</v>
      </c>
      <c r="G194" s="125">
        <f t="shared" si="11"/>
        <v>0</v>
      </c>
      <c r="H194" s="125">
        <f t="shared" si="11"/>
        <v>0</v>
      </c>
      <c r="I194" s="113"/>
      <c r="J194" s="113"/>
      <c r="K194" s="113"/>
    </row>
    <row r="195" spans="1:11" hidden="1">
      <c r="A195" s="130"/>
      <c r="B195" s="331"/>
      <c r="C195" s="332"/>
      <c r="D195" s="125"/>
      <c r="E195" s="125"/>
      <c r="F195" s="125">
        <f t="shared" si="10"/>
        <v>0</v>
      </c>
      <c r="G195" s="125">
        <f t="shared" si="11"/>
        <v>0</v>
      </c>
      <c r="H195" s="125">
        <f t="shared" si="11"/>
        <v>0</v>
      </c>
      <c r="I195" s="113"/>
      <c r="J195" s="113"/>
      <c r="K195" s="113"/>
    </row>
    <row r="196" spans="1:11" hidden="1">
      <c r="A196" s="130"/>
      <c r="B196" s="331"/>
      <c r="C196" s="332"/>
      <c r="D196" s="125"/>
      <c r="E196" s="125"/>
      <c r="F196" s="125">
        <f t="shared" si="10"/>
        <v>0</v>
      </c>
      <c r="G196" s="125">
        <f t="shared" si="11"/>
        <v>0</v>
      </c>
      <c r="H196" s="125">
        <f t="shared" si="11"/>
        <v>0</v>
      </c>
      <c r="I196" s="113"/>
      <c r="J196" s="113"/>
      <c r="K196" s="113"/>
    </row>
    <row r="197" spans="1:11" hidden="1">
      <c r="A197" s="130"/>
      <c r="B197" s="331"/>
      <c r="C197" s="332"/>
      <c r="D197" s="125"/>
      <c r="E197" s="125"/>
      <c r="F197" s="125">
        <f t="shared" si="10"/>
        <v>0</v>
      </c>
      <c r="G197" s="125">
        <f t="shared" si="11"/>
        <v>0</v>
      </c>
      <c r="H197" s="125">
        <f t="shared" si="11"/>
        <v>0</v>
      </c>
      <c r="I197" s="113"/>
      <c r="J197" s="113"/>
      <c r="K197" s="113"/>
    </row>
    <row r="198" spans="1:11" hidden="1">
      <c r="A198" s="130"/>
      <c r="B198" s="331"/>
      <c r="C198" s="332"/>
      <c r="D198" s="125"/>
      <c r="E198" s="125"/>
      <c r="F198" s="125">
        <f t="shared" si="10"/>
        <v>0</v>
      </c>
      <c r="G198" s="125">
        <f t="shared" si="11"/>
        <v>0</v>
      </c>
      <c r="H198" s="125">
        <f t="shared" si="11"/>
        <v>0</v>
      </c>
      <c r="I198" s="113"/>
      <c r="J198" s="113"/>
      <c r="K198" s="113"/>
    </row>
    <row r="199" spans="1:11" hidden="1">
      <c r="A199" s="130"/>
      <c r="B199" s="331"/>
      <c r="C199" s="332"/>
      <c r="D199" s="125"/>
      <c r="E199" s="125"/>
      <c r="F199" s="125">
        <f t="shared" si="10"/>
        <v>0</v>
      </c>
      <c r="G199" s="125">
        <f t="shared" si="11"/>
        <v>0</v>
      </c>
      <c r="H199" s="125">
        <f t="shared" si="11"/>
        <v>0</v>
      </c>
      <c r="I199" s="113"/>
      <c r="J199" s="113"/>
      <c r="K199" s="113"/>
    </row>
    <row r="200" spans="1:11" hidden="1">
      <c r="A200" s="130"/>
      <c r="B200" s="331"/>
      <c r="C200" s="332"/>
      <c r="D200" s="125"/>
      <c r="E200" s="125"/>
      <c r="F200" s="125">
        <f t="shared" si="10"/>
        <v>0</v>
      </c>
      <c r="G200" s="125">
        <f t="shared" si="11"/>
        <v>0</v>
      </c>
      <c r="H200" s="125">
        <f t="shared" si="11"/>
        <v>0</v>
      </c>
      <c r="I200" s="113"/>
      <c r="J200" s="113"/>
      <c r="K200" s="113"/>
    </row>
    <row r="201" spans="1:11" hidden="1">
      <c r="A201" s="130"/>
      <c r="B201" s="331"/>
      <c r="C201" s="332"/>
      <c r="D201" s="125"/>
      <c r="E201" s="125"/>
      <c r="F201" s="125">
        <f t="shared" si="10"/>
        <v>0</v>
      </c>
      <c r="G201" s="125">
        <f t="shared" si="11"/>
        <v>0</v>
      </c>
      <c r="H201" s="125">
        <f t="shared" si="11"/>
        <v>0</v>
      </c>
      <c r="I201" s="113"/>
      <c r="J201" s="113"/>
      <c r="K201" s="113"/>
    </row>
    <row r="202" spans="1:11" hidden="1">
      <c r="A202" s="130"/>
      <c r="B202" s="331"/>
      <c r="C202" s="332"/>
      <c r="D202" s="125"/>
      <c r="E202" s="125"/>
      <c r="F202" s="125">
        <f t="shared" si="10"/>
        <v>0</v>
      </c>
      <c r="G202" s="125">
        <f t="shared" si="11"/>
        <v>0</v>
      </c>
      <c r="H202" s="125">
        <f t="shared" si="11"/>
        <v>0</v>
      </c>
      <c r="I202" s="113"/>
      <c r="J202" s="113"/>
      <c r="K202" s="113"/>
    </row>
    <row r="203" spans="1:11" hidden="1">
      <c r="A203" s="130"/>
      <c r="B203" s="331"/>
      <c r="C203" s="332"/>
      <c r="D203" s="125"/>
      <c r="E203" s="125"/>
      <c r="F203" s="125">
        <f t="shared" si="10"/>
        <v>0</v>
      </c>
      <c r="G203" s="125">
        <f t="shared" si="11"/>
        <v>0</v>
      </c>
      <c r="H203" s="125">
        <f t="shared" si="11"/>
        <v>0</v>
      </c>
      <c r="I203" s="113"/>
      <c r="J203" s="113"/>
      <c r="K203" s="113"/>
    </row>
    <row r="204" spans="1:11" hidden="1">
      <c r="A204" s="124"/>
      <c r="B204" s="725"/>
      <c r="C204" s="726"/>
      <c r="D204" s="125"/>
      <c r="E204" s="125"/>
      <c r="F204" s="125">
        <f t="shared" si="10"/>
        <v>0</v>
      </c>
      <c r="G204" s="125">
        <f t="shared" si="11"/>
        <v>0</v>
      </c>
      <c r="H204" s="125">
        <f t="shared" si="11"/>
        <v>0</v>
      </c>
      <c r="I204" s="113"/>
      <c r="J204" s="113"/>
      <c r="K204" s="113"/>
    </row>
    <row r="205" spans="1:11" hidden="1">
      <c r="A205" s="124"/>
      <c r="B205" s="725"/>
      <c r="C205" s="726"/>
      <c r="D205" s="125"/>
      <c r="E205" s="125"/>
      <c r="F205" s="125">
        <f t="shared" si="10"/>
        <v>0</v>
      </c>
      <c r="G205" s="125"/>
      <c r="H205" s="125">
        <f t="shared" ref="H205" si="12">G205</f>
        <v>0</v>
      </c>
      <c r="I205" s="113"/>
      <c r="J205" s="113"/>
      <c r="K205" s="113"/>
    </row>
    <row r="206" spans="1:11" hidden="1">
      <c r="A206" s="124"/>
      <c r="B206" s="725"/>
      <c r="C206" s="726"/>
      <c r="D206" s="125"/>
      <c r="E206" s="125"/>
      <c r="F206" s="125">
        <f t="shared" si="10"/>
        <v>0</v>
      </c>
      <c r="G206" s="125"/>
      <c r="H206" s="125"/>
      <c r="I206" s="113"/>
      <c r="J206" s="113"/>
      <c r="K206" s="113"/>
    </row>
    <row r="207" spans="1:11" hidden="1">
      <c r="A207" s="124"/>
      <c r="B207" s="725"/>
      <c r="C207" s="726"/>
      <c r="D207" s="125"/>
      <c r="E207" s="125"/>
      <c r="F207" s="125">
        <f t="shared" si="10"/>
        <v>0</v>
      </c>
      <c r="G207" s="125"/>
      <c r="H207" s="125"/>
      <c r="I207" s="113"/>
      <c r="J207" s="113"/>
      <c r="K207" s="113"/>
    </row>
    <row r="208" spans="1:11" hidden="1">
      <c r="A208" s="166"/>
      <c r="B208" s="727" t="s">
        <v>216</v>
      </c>
      <c r="C208" s="728"/>
      <c r="D208" s="167"/>
      <c r="E208" s="167"/>
      <c r="F208" s="167">
        <f>SUM(F186:F207)</f>
        <v>0</v>
      </c>
      <c r="G208" s="167">
        <f t="shared" ref="G208:H208" si="13">SUM(G186:G207)</f>
        <v>0</v>
      </c>
      <c r="H208" s="167">
        <f t="shared" si="13"/>
        <v>0</v>
      </c>
      <c r="I208" s="171"/>
      <c r="J208" s="171"/>
      <c r="K208" s="171"/>
    </row>
    <row r="209" spans="1:11">
      <c r="A209" s="471" t="s">
        <v>205</v>
      </c>
      <c r="B209" s="471"/>
      <c r="C209" s="471"/>
      <c r="D209" s="342" t="s">
        <v>491</v>
      </c>
      <c r="E209" s="113"/>
      <c r="F209" s="423"/>
      <c r="G209" s="423"/>
      <c r="H209" s="423"/>
      <c r="I209" s="171"/>
      <c r="J209" s="171"/>
      <c r="K209" s="171"/>
    </row>
    <row r="210" spans="1:11">
      <c r="A210" s="324"/>
      <c r="B210" s="324"/>
      <c r="C210" s="324"/>
      <c r="D210" s="342"/>
      <c r="E210" s="113"/>
      <c r="F210" s="423"/>
      <c r="G210" s="423"/>
      <c r="H210" s="423"/>
      <c r="I210" s="171"/>
      <c r="J210" s="171"/>
      <c r="K210" s="171"/>
    </row>
    <row r="211" spans="1:11" ht="63">
      <c r="A211" s="126" t="s">
        <v>218</v>
      </c>
      <c r="B211" s="733" t="s">
        <v>237</v>
      </c>
      <c r="C211" s="734"/>
      <c r="D211" s="415" t="s">
        <v>515</v>
      </c>
      <c r="E211" s="393" t="s">
        <v>505</v>
      </c>
      <c r="F211" s="120" t="s">
        <v>303</v>
      </c>
      <c r="G211" s="120" t="s">
        <v>304</v>
      </c>
      <c r="H211" s="120" t="s">
        <v>422</v>
      </c>
      <c r="I211" s="171"/>
      <c r="J211" s="171"/>
      <c r="K211" s="171"/>
    </row>
    <row r="212" spans="1:11">
      <c r="A212" s="122">
        <v>1</v>
      </c>
      <c r="B212" s="725">
        <v>2</v>
      </c>
      <c r="C212" s="726"/>
      <c r="D212" s="122">
        <v>3</v>
      </c>
      <c r="E212" s="122">
        <v>4</v>
      </c>
      <c r="F212" s="122">
        <v>5</v>
      </c>
      <c r="G212" s="122">
        <v>6</v>
      </c>
      <c r="H212" s="122">
        <v>7</v>
      </c>
      <c r="I212" s="171"/>
      <c r="J212" s="171"/>
      <c r="K212" s="171"/>
    </row>
    <row r="213" spans="1:11" ht="15.75">
      <c r="A213" s="370"/>
      <c r="B213" s="416" t="s">
        <v>516</v>
      </c>
      <c r="C213" s="416"/>
      <c r="D213" s="417"/>
      <c r="E213" s="418"/>
      <c r="F213" s="125"/>
      <c r="G213" s="125"/>
      <c r="H213" s="125"/>
      <c r="I213" s="171"/>
      <c r="J213" s="171"/>
      <c r="K213" s="171"/>
    </row>
    <row r="214" spans="1:11" ht="31.5">
      <c r="A214" s="370"/>
      <c r="B214" s="410" t="s">
        <v>517</v>
      </c>
      <c r="C214" s="410"/>
      <c r="D214" s="419" t="s">
        <v>520</v>
      </c>
      <c r="E214" s="411"/>
      <c r="F214" s="125"/>
      <c r="G214" s="125"/>
      <c r="H214" s="125"/>
      <c r="I214" s="171"/>
      <c r="J214" s="171"/>
      <c r="K214" s="171"/>
    </row>
    <row r="215" spans="1:11" ht="25.5" customHeight="1">
      <c r="A215" s="370"/>
      <c r="B215" s="410" t="s">
        <v>518</v>
      </c>
      <c r="C215" s="410"/>
      <c r="D215" s="420">
        <v>12320</v>
      </c>
      <c r="E215" s="421">
        <f>23.607*0.785</f>
        <v>18.531495</v>
      </c>
      <c r="F215" s="343">
        <f>D215*E215</f>
        <v>228308.0184</v>
      </c>
      <c r="G215" s="343">
        <v>244492.91</v>
      </c>
      <c r="H215" s="343">
        <v>260716.09</v>
      </c>
      <c r="I215" s="171"/>
      <c r="J215" s="171"/>
      <c r="K215" s="171"/>
    </row>
    <row r="216" spans="1:11" ht="15.75">
      <c r="A216" s="370"/>
      <c r="B216" s="416"/>
      <c r="C216" s="416"/>
      <c r="D216" s="422"/>
      <c r="E216" s="418"/>
      <c r="F216" s="125"/>
      <c r="G216" s="125"/>
      <c r="H216" s="125"/>
      <c r="I216" s="171"/>
      <c r="J216" s="171"/>
      <c r="K216" s="171"/>
    </row>
    <row r="217" spans="1:11">
      <c r="A217" s="166"/>
      <c r="B217" s="727" t="s">
        <v>511</v>
      </c>
      <c r="C217" s="728"/>
      <c r="D217" s="167"/>
      <c r="E217" s="167"/>
      <c r="F217" s="349">
        <f>SUM(F213:F216)</f>
        <v>228308.0184</v>
      </c>
      <c r="G217" s="349">
        <f>G215</f>
        <v>244492.91</v>
      </c>
      <c r="H217" s="349">
        <f>H215</f>
        <v>260716.09</v>
      </c>
      <c r="I217" s="171"/>
      <c r="J217" s="171"/>
      <c r="K217" s="171"/>
    </row>
    <row r="218" spans="1:11" ht="15.75" thickBot="1">
      <c r="A218" s="424"/>
      <c r="B218" s="425"/>
      <c r="C218" s="425"/>
      <c r="D218" s="423"/>
      <c r="E218" s="423"/>
      <c r="F218" s="426"/>
      <c r="G218" s="426"/>
      <c r="H218" s="426"/>
      <c r="I218" s="171"/>
      <c r="J218" s="171"/>
      <c r="K218" s="171"/>
    </row>
    <row r="219" spans="1:11" ht="15.75" thickBot="1">
      <c r="A219" s="131"/>
      <c r="B219" s="729" t="s">
        <v>264</v>
      </c>
      <c r="C219" s="730"/>
      <c r="D219" s="730"/>
      <c r="E219" s="731"/>
      <c r="F219" s="175">
        <f>F180+F217</f>
        <v>290838.24</v>
      </c>
      <c r="G219" s="175">
        <f>G217+G180</f>
        <v>311455.94</v>
      </c>
      <c r="H219" s="175">
        <f>H217+H180</f>
        <v>332122.41000000003</v>
      </c>
      <c r="I219" s="113"/>
      <c r="J219" s="113"/>
      <c r="K219" s="113"/>
    </row>
    <row r="220" spans="1:11">
      <c r="A220" s="18"/>
      <c r="B220" s="113"/>
      <c r="C220" s="113"/>
      <c r="D220" s="113"/>
      <c r="E220" s="113"/>
      <c r="F220" s="113"/>
      <c r="G220" s="356"/>
      <c r="H220" s="113"/>
      <c r="I220" s="113"/>
      <c r="J220" s="113"/>
      <c r="K220" s="113"/>
    </row>
    <row r="221" spans="1:11">
      <c r="A221" s="18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1:11">
      <c r="A222" s="732" t="s">
        <v>179</v>
      </c>
      <c r="B222" s="732"/>
      <c r="C222" s="732"/>
      <c r="D222" s="378" t="s">
        <v>474</v>
      </c>
      <c r="E222" s="379"/>
      <c r="F222" s="378"/>
      <c r="G222" s="379"/>
      <c r="H222" s="378" t="s">
        <v>521</v>
      </c>
      <c r="I222" s="326"/>
      <c r="J222" s="132"/>
      <c r="K222" s="132"/>
    </row>
    <row r="223" spans="1:11">
      <c r="A223" s="732" t="s">
        <v>180</v>
      </c>
      <c r="B223" s="732"/>
      <c r="C223" s="732"/>
      <c r="D223" s="134" t="s">
        <v>265</v>
      </c>
      <c r="E223" s="135"/>
      <c r="F223" s="134" t="s">
        <v>266</v>
      </c>
      <c r="G223" s="135"/>
      <c r="H223" s="330" t="s">
        <v>267</v>
      </c>
      <c r="I223" s="330"/>
      <c r="J223" s="135"/>
      <c r="K223" s="135"/>
    </row>
    <row r="224" spans="1:11">
      <c r="A224" s="329"/>
      <c r="B224" s="333"/>
      <c r="C224" s="333"/>
      <c r="D224" s="333"/>
      <c r="E224" s="333"/>
      <c r="F224" s="333"/>
      <c r="G224" s="333"/>
      <c r="H224" s="333"/>
      <c r="I224" s="333"/>
      <c r="J224" s="333"/>
      <c r="K224" s="333"/>
    </row>
    <row r="225" spans="1:11">
      <c r="A225" s="723" t="s">
        <v>182</v>
      </c>
      <c r="B225" s="723"/>
      <c r="C225" s="359" t="s">
        <v>476</v>
      </c>
      <c r="D225" s="360"/>
      <c r="E225" s="359" t="s">
        <v>477</v>
      </c>
      <c r="F225" s="132"/>
      <c r="G225" s="326" t="s">
        <v>478</v>
      </c>
      <c r="H225" s="326"/>
      <c r="I225" s="333"/>
      <c r="J225" s="333"/>
      <c r="K225" s="333"/>
    </row>
    <row r="226" spans="1:11">
      <c r="A226" s="333"/>
      <c r="B226" s="333"/>
      <c r="C226" s="134" t="s">
        <v>268</v>
      </c>
      <c r="D226" s="135"/>
      <c r="E226" s="330" t="s">
        <v>183</v>
      </c>
      <c r="F226" s="135"/>
      <c r="G226" s="724" t="s">
        <v>184</v>
      </c>
      <c r="H226" s="724"/>
      <c r="I226" s="333"/>
      <c r="J226" s="333"/>
      <c r="K226" s="333"/>
    </row>
    <row r="227" spans="1:11">
      <c r="A227" s="333"/>
      <c r="B227" s="333"/>
      <c r="C227" s="333"/>
      <c r="D227" s="333"/>
      <c r="E227" s="333"/>
      <c r="F227" s="333"/>
      <c r="G227" s="333"/>
      <c r="H227" s="333"/>
      <c r="I227" s="333"/>
      <c r="J227" s="333"/>
      <c r="K227" s="333"/>
    </row>
    <row r="228" spans="1:11">
      <c r="A228" s="723" t="s">
        <v>489</v>
      </c>
      <c r="B228" s="723"/>
      <c r="C228" s="723"/>
      <c r="D228" s="723"/>
      <c r="E228" s="723"/>
      <c r="F228" s="333"/>
      <c r="G228" s="333"/>
      <c r="H228" s="333"/>
      <c r="I228" s="333"/>
      <c r="J228" s="333"/>
      <c r="K228" s="333"/>
    </row>
  </sheetData>
  <mergeCells count="125">
    <mergeCell ref="J13:J15"/>
    <mergeCell ref="K13:K15"/>
    <mergeCell ref="D14:D15"/>
    <mergeCell ref="B33:H33"/>
    <mergeCell ref="A48:H48"/>
    <mergeCell ref="B50:D50"/>
    <mergeCell ref="A4:K4"/>
    <mergeCell ref="A6:B6"/>
    <mergeCell ref="A8:C8"/>
    <mergeCell ref="A13:A15"/>
    <mergeCell ref="B13:B15"/>
    <mergeCell ref="C13:C15"/>
    <mergeCell ref="D13:G13"/>
    <mergeCell ref="H13:H15"/>
    <mergeCell ref="I13:I15"/>
    <mergeCell ref="A1:H1"/>
    <mergeCell ref="B57:D57"/>
    <mergeCell ref="B58:D58"/>
    <mergeCell ref="B59:D59"/>
    <mergeCell ref="B63:C63"/>
    <mergeCell ref="B64:C64"/>
    <mergeCell ref="B65:C65"/>
    <mergeCell ref="B51:D51"/>
    <mergeCell ref="B52:D52"/>
    <mergeCell ref="B53:D53"/>
    <mergeCell ref="B54:D54"/>
    <mergeCell ref="B55:D55"/>
    <mergeCell ref="B56:D56"/>
    <mergeCell ref="B75:C75"/>
    <mergeCell ref="B76:C76"/>
    <mergeCell ref="B77:C77"/>
    <mergeCell ref="B78:C78"/>
    <mergeCell ref="B79:C79"/>
    <mergeCell ref="B80:C80"/>
    <mergeCell ref="B66:C66"/>
    <mergeCell ref="B67:C67"/>
    <mergeCell ref="B68:C68"/>
    <mergeCell ref="B69:C69"/>
    <mergeCell ref="B70:C70"/>
    <mergeCell ref="B71:C71"/>
    <mergeCell ref="B89:C89"/>
    <mergeCell ref="B90:C90"/>
    <mergeCell ref="B91:C91"/>
    <mergeCell ref="B92:C92"/>
    <mergeCell ref="B93:C93"/>
    <mergeCell ref="B94:C94"/>
    <mergeCell ref="B81:C81"/>
    <mergeCell ref="B82:C82"/>
    <mergeCell ref="B83:C83"/>
    <mergeCell ref="A85:H85"/>
    <mergeCell ref="B87:C87"/>
    <mergeCell ref="B88:C88"/>
    <mergeCell ref="B106:C106"/>
    <mergeCell ref="B110:C110"/>
    <mergeCell ref="B111:C111"/>
    <mergeCell ref="B112:C112"/>
    <mergeCell ref="B113:C113"/>
    <mergeCell ref="B114:C114"/>
    <mergeCell ref="B95:C95"/>
    <mergeCell ref="B100:C100"/>
    <mergeCell ref="B101:C101"/>
    <mergeCell ref="B102:C102"/>
    <mergeCell ref="B104:C104"/>
    <mergeCell ref="B105:C105"/>
    <mergeCell ref="B124:C124"/>
    <mergeCell ref="B125:C125"/>
    <mergeCell ref="B126:C126"/>
    <mergeCell ref="B127:F127"/>
    <mergeCell ref="B128:C128"/>
    <mergeCell ref="B130:C130"/>
    <mergeCell ref="B115:C115"/>
    <mergeCell ref="B116:C116"/>
    <mergeCell ref="B117:C117"/>
    <mergeCell ref="B118:C118"/>
    <mergeCell ref="B122:C122"/>
    <mergeCell ref="B123:C123"/>
    <mergeCell ref="B141:C141"/>
    <mergeCell ref="B142:C142"/>
    <mergeCell ref="B143:C143"/>
    <mergeCell ref="B144:C144"/>
    <mergeCell ref="B148:C148"/>
    <mergeCell ref="B149:C149"/>
    <mergeCell ref="B132:C132"/>
    <mergeCell ref="B136:C136"/>
    <mergeCell ref="B137:C137"/>
    <mergeCell ref="B138:C138"/>
    <mergeCell ref="B139:C139"/>
    <mergeCell ref="B140:C140"/>
    <mergeCell ref="B159:C159"/>
    <mergeCell ref="B161:C161"/>
    <mergeCell ref="B164:C164"/>
    <mergeCell ref="B165:C165"/>
    <mergeCell ref="B166:C166"/>
    <mergeCell ref="B167:C167"/>
    <mergeCell ref="B150:C150"/>
    <mergeCell ref="B151:C151"/>
    <mergeCell ref="B152:C152"/>
    <mergeCell ref="B153:C153"/>
    <mergeCell ref="B154:C154"/>
    <mergeCell ref="B157:C157"/>
    <mergeCell ref="B184:C184"/>
    <mergeCell ref="B185:C185"/>
    <mergeCell ref="B186:C186"/>
    <mergeCell ref="B187:C187"/>
    <mergeCell ref="B204:C204"/>
    <mergeCell ref="B205:C205"/>
    <mergeCell ref="B168:C168"/>
    <mergeCell ref="B169:C169"/>
    <mergeCell ref="B170:C170"/>
    <mergeCell ref="B174:C174"/>
    <mergeCell ref="B175:C175"/>
    <mergeCell ref="B180:C180"/>
    <mergeCell ref="A228:E228"/>
    <mergeCell ref="B217:C217"/>
    <mergeCell ref="B219:E219"/>
    <mergeCell ref="A222:C222"/>
    <mergeCell ref="A223:C223"/>
    <mergeCell ref="A225:B225"/>
    <mergeCell ref="G226:H226"/>
    <mergeCell ref="B206:C206"/>
    <mergeCell ref="B207:C207"/>
    <mergeCell ref="B208:C208"/>
    <mergeCell ref="A209:C209"/>
    <mergeCell ref="B211:C211"/>
    <mergeCell ref="B212:C212"/>
  </mergeCells>
  <pageMargins left="0.7" right="0.7" top="0.75" bottom="0.75" header="0.3" footer="0.3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6"/>
  <sheetViews>
    <sheetView topLeftCell="A10" workbookViewId="0">
      <selection activeCell="F68" sqref="F68"/>
    </sheetView>
  </sheetViews>
  <sheetFormatPr defaultRowHeight="15"/>
  <cols>
    <col min="6" max="6" width="12.5703125" customWidth="1"/>
    <col min="7" max="7" width="14.140625" customWidth="1"/>
    <col min="8" max="8" width="12.42578125" customWidth="1"/>
  </cols>
  <sheetData>
    <row r="1" spans="1:11" ht="36" customHeight="1">
      <c r="A1" s="781" t="s">
        <v>203</v>
      </c>
      <c r="B1" s="781"/>
      <c r="C1" s="781"/>
      <c r="D1" s="781"/>
      <c r="E1" s="781"/>
      <c r="F1" s="781"/>
      <c r="G1" s="781"/>
      <c r="H1" s="781"/>
      <c r="I1" s="414"/>
      <c r="J1" s="414"/>
      <c r="K1" s="414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341" t="s">
        <v>522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300</v>
      </c>
      <c r="E8" s="113"/>
      <c r="F8" s="113"/>
      <c r="G8" s="113"/>
      <c r="H8" s="113"/>
      <c r="I8" s="113"/>
      <c r="J8" s="113"/>
      <c r="K8" s="113"/>
    </row>
    <row r="9" spans="1:11" hidden="1">
      <c r="A9" s="324"/>
      <c r="B9" s="324"/>
      <c r="C9" s="324"/>
      <c r="D9" s="113"/>
      <c r="E9" s="113"/>
      <c r="F9" s="113"/>
      <c r="G9" s="113"/>
      <c r="H9" s="113"/>
      <c r="I9" s="113"/>
      <c r="J9" s="113"/>
      <c r="K9" s="113"/>
    </row>
    <row r="10" spans="1:11">
      <c r="A10" s="18"/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>
      <c r="A11" s="67" t="s">
        <v>262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>
      <c r="A12" s="18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63">
      <c r="A13" s="126" t="s">
        <v>218</v>
      </c>
      <c r="B13" s="733" t="s">
        <v>237</v>
      </c>
      <c r="C13" s="734"/>
      <c r="D13" s="415" t="s">
        <v>515</v>
      </c>
      <c r="E13" s="393" t="s">
        <v>505</v>
      </c>
      <c r="F13" s="120" t="s">
        <v>303</v>
      </c>
      <c r="G13" s="120" t="s">
        <v>304</v>
      </c>
      <c r="H13" s="120" t="s">
        <v>422</v>
      </c>
      <c r="I13" s="113"/>
      <c r="J13" s="113"/>
      <c r="K13" s="113"/>
    </row>
    <row r="14" spans="1:11">
      <c r="A14" s="122">
        <v>1</v>
      </c>
      <c r="B14" s="725">
        <v>2</v>
      </c>
      <c r="C14" s="726"/>
      <c r="D14" s="122">
        <v>3</v>
      </c>
      <c r="E14" s="122">
        <v>4</v>
      </c>
      <c r="F14" s="122">
        <v>5</v>
      </c>
      <c r="G14" s="122">
        <v>6</v>
      </c>
      <c r="H14" s="122">
        <v>7</v>
      </c>
      <c r="I14" s="113"/>
      <c r="J14" s="113"/>
      <c r="K14" s="113"/>
    </row>
    <row r="15" spans="1:11" ht="15.75">
      <c r="A15" s="370"/>
      <c r="B15" s="416" t="s">
        <v>516</v>
      </c>
      <c r="C15" s="416"/>
      <c r="D15" s="417"/>
      <c r="E15" s="418"/>
      <c r="F15" s="125"/>
      <c r="G15" s="125"/>
      <c r="H15" s="125"/>
      <c r="I15" s="113"/>
      <c r="J15" s="113"/>
      <c r="K15" s="113"/>
    </row>
    <row r="16" spans="1:11" ht="31.5">
      <c r="A16" s="370"/>
      <c r="B16" s="410" t="s">
        <v>523</v>
      </c>
      <c r="C16" s="410"/>
      <c r="D16" s="419" t="s">
        <v>525</v>
      </c>
      <c r="E16" s="411"/>
      <c r="F16" s="125"/>
      <c r="G16" s="125"/>
      <c r="H16" s="125"/>
      <c r="I16" s="113"/>
      <c r="J16" s="113"/>
      <c r="K16" s="113"/>
    </row>
    <row r="17" spans="1:11" ht="15.75">
      <c r="A17" s="370"/>
      <c r="B17" s="410" t="s">
        <v>518</v>
      </c>
      <c r="C17" s="410"/>
      <c r="D17" s="420">
        <v>12320</v>
      </c>
      <c r="E17" s="421">
        <f>52.46*0.05</f>
        <v>2.6230000000000002</v>
      </c>
      <c r="F17" s="343">
        <f>D17*E17</f>
        <v>32315.360000000004</v>
      </c>
      <c r="G17" s="125">
        <v>34606.22</v>
      </c>
      <c r="H17" s="125">
        <v>36902.49</v>
      </c>
      <c r="I17" s="113"/>
      <c r="J17" s="113"/>
      <c r="K17" s="113"/>
    </row>
    <row r="18" spans="1:11" ht="15.75">
      <c r="A18" s="370"/>
      <c r="B18" s="416"/>
      <c r="C18" s="416"/>
      <c r="D18" s="422"/>
      <c r="E18" s="418"/>
      <c r="F18" s="125"/>
      <c r="G18" s="125"/>
      <c r="H18" s="125"/>
      <c r="I18" s="113"/>
      <c r="J18" s="113"/>
      <c r="K18" s="113"/>
    </row>
    <row r="19" spans="1:11" ht="15.75" hidden="1">
      <c r="A19" s="370"/>
      <c r="B19" s="410"/>
      <c r="C19" s="410"/>
      <c r="D19" s="427"/>
      <c r="E19" s="411"/>
      <c r="F19" s="125"/>
      <c r="G19" s="125"/>
      <c r="H19" s="125"/>
      <c r="I19" s="113"/>
      <c r="J19" s="113"/>
      <c r="K19" s="113"/>
    </row>
    <row r="20" spans="1:11" ht="15.75" hidden="1">
      <c r="A20" s="370"/>
      <c r="B20" s="410"/>
      <c r="C20" s="410"/>
      <c r="D20" s="427"/>
      <c r="E20" s="411"/>
      <c r="F20" s="125"/>
      <c r="G20" s="125"/>
      <c r="H20" s="125"/>
      <c r="I20" s="113"/>
      <c r="J20" s="113"/>
      <c r="K20" s="113"/>
    </row>
    <row r="21" spans="1:11" ht="15.75" hidden="1">
      <c r="A21" s="370"/>
      <c r="B21" s="410"/>
      <c r="C21" s="410"/>
      <c r="D21" s="427"/>
      <c r="E21" s="411"/>
      <c r="F21" s="125"/>
      <c r="G21" s="125"/>
      <c r="H21" s="125"/>
      <c r="I21" s="113"/>
      <c r="J21" s="113"/>
      <c r="K21" s="113"/>
    </row>
    <row r="22" spans="1:11" ht="15.75" hidden="1">
      <c r="A22" s="370"/>
      <c r="B22" s="410"/>
      <c r="C22" s="410"/>
      <c r="D22" s="427"/>
      <c r="E22" s="411"/>
      <c r="F22" s="125"/>
      <c r="G22" s="125"/>
      <c r="H22" s="125"/>
      <c r="I22" s="113"/>
      <c r="J22" s="113"/>
      <c r="K22" s="113"/>
    </row>
    <row r="23" spans="1:11" ht="15.75" hidden="1">
      <c r="A23" s="370"/>
      <c r="B23" s="410"/>
      <c r="C23" s="410"/>
      <c r="D23" s="427"/>
      <c r="E23" s="411"/>
      <c r="F23" s="125"/>
      <c r="G23" s="125"/>
      <c r="H23" s="125"/>
      <c r="I23" s="113"/>
      <c r="J23" s="113"/>
      <c r="K23" s="113"/>
    </row>
    <row r="24" spans="1:11" ht="15.75" hidden="1">
      <c r="A24" s="370"/>
      <c r="B24" s="410"/>
      <c r="C24" s="410"/>
      <c r="D24" s="427"/>
      <c r="E24" s="411"/>
      <c r="F24" s="125"/>
      <c r="G24" s="125"/>
      <c r="H24" s="125"/>
      <c r="I24" s="113"/>
      <c r="J24" s="113"/>
      <c r="K24" s="113"/>
    </row>
    <row r="25" spans="1:11" ht="15.75" hidden="1">
      <c r="A25" s="371"/>
      <c r="B25" s="410"/>
      <c r="C25" s="410"/>
      <c r="D25" s="427"/>
      <c r="E25" s="411"/>
      <c r="F25" s="125"/>
      <c r="G25" s="125"/>
      <c r="H25" s="125"/>
      <c r="I25" s="113"/>
      <c r="J25" s="113"/>
      <c r="K25" s="113"/>
    </row>
    <row r="26" spans="1:11" ht="15.75" hidden="1">
      <c r="A26" s="370"/>
      <c r="B26" s="410"/>
      <c r="C26" s="410"/>
      <c r="D26" s="427"/>
      <c r="E26" s="411"/>
      <c r="F26" s="125"/>
      <c r="G26" s="125"/>
      <c r="H26" s="125"/>
      <c r="I26" s="113"/>
      <c r="J26" s="113"/>
      <c r="K26" s="113"/>
    </row>
    <row r="27" spans="1:11" ht="15.75" hidden="1">
      <c r="A27" s="371"/>
      <c r="B27" s="410"/>
      <c r="C27" s="410"/>
      <c r="D27" s="427"/>
      <c r="E27" s="411"/>
      <c r="F27" s="125"/>
      <c r="G27" s="125"/>
      <c r="H27" s="125"/>
      <c r="I27" s="113"/>
      <c r="J27" s="113"/>
      <c r="K27" s="113"/>
    </row>
    <row r="28" spans="1:11" ht="15.75" hidden="1">
      <c r="A28" s="371"/>
      <c r="B28" s="410"/>
      <c r="C28" s="410"/>
      <c r="D28" s="427"/>
      <c r="E28" s="411"/>
      <c r="F28" s="125"/>
      <c r="G28" s="125"/>
      <c r="H28" s="125"/>
      <c r="I28" s="113"/>
      <c r="J28" s="113"/>
      <c r="K28" s="113"/>
    </row>
    <row r="29" spans="1:11" ht="15.75" hidden="1">
      <c r="A29" s="371"/>
      <c r="B29" s="410"/>
      <c r="C29" s="410"/>
      <c r="D29" s="427"/>
      <c r="E29" s="411"/>
      <c r="F29" s="125"/>
      <c r="G29" s="125"/>
      <c r="H29" s="125"/>
      <c r="I29" s="113"/>
      <c r="J29" s="113"/>
      <c r="K29" s="113"/>
    </row>
    <row r="30" spans="1:11" ht="15.75" hidden="1">
      <c r="A30" s="371"/>
      <c r="B30" s="410"/>
      <c r="C30" s="410"/>
      <c r="D30" s="427"/>
      <c r="E30" s="411"/>
      <c r="F30" s="125"/>
      <c r="G30" s="125"/>
      <c r="H30" s="125"/>
      <c r="I30" s="113"/>
      <c r="J30" s="113"/>
      <c r="K30" s="113"/>
    </row>
    <row r="31" spans="1:11" ht="15.75" hidden="1">
      <c r="A31" s="371"/>
      <c r="B31" s="428"/>
      <c r="C31" s="412"/>
      <c r="D31" s="427"/>
      <c r="E31" s="411"/>
      <c r="F31" s="125"/>
      <c r="G31" s="125"/>
      <c r="H31" s="125"/>
      <c r="I31" s="113"/>
      <c r="J31" s="113"/>
      <c r="K31" s="113"/>
    </row>
    <row r="32" spans="1:11">
      <c r="A32" s="166"/>
      <c r="B32" s="727" t="s">
        <v>511</v>
      </c>
      <c r="C32" s="728"/>
      <c r="D32" s="167"/>
      <c r="E32" s="167"/>
      <c r="F32" s="349">
        <f>SUM(F15:F31)</f>
        <v>32315.360000000004</v>
      </c>
      <c r="G32" s="349">
        <f>SUM(G15:G30)</f>
        <v>34606.22</v>
      </c>
      <c r="H32" s="349">
        <f>SUM(H15:H30)</f>
        <v>36902.49</v>
      </c>
      <c r="I32" s="171"/>
      <c r="J32" s="171"/>
      <c r="K32" s="171"/>
    </row>
    <row r="33" spans="1:11">
      <c r="A33" s="18"/>
      <c r="B33" s="113"/>
      <c r="C33" s="113"/>
      <c r="D33" s="113"/>
      <c r="E33" s="373"/>
      <c r="F33" s="374"/>
      <c r="G33" s="374"/>
      <c r="H33" s="375"/>
      <c r="I33" s="113"/>
      <c r="J33" s="113"/>
      <c r="K33" s="113"/>
    </row>
    <row r="34" spans="1:11" hidden="1">
      <c r="A34" s="67" t="s">
        <v>263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idden="1">
      <c r="A35" s="18"/>
      <c r="B35" s="113"/>
      <c r="C35" s="113"/>
      <c r="D35" s="113"/>
      <c r="E35" s="113"/>
      <c r="F35" s="113"/>
      <c r="G35" s="356"/>
      <c r="H35" s="113"/>
      <c r="I35" s="113"/>
      <c r="J35" s="113"/>
      <c r="K35" s="113"/>
    </row>
    <row r="36" spans="1:11" ht="36.75" hidden="1">
      <c r="A36" s="126" t="s">
        <v>218</v>
      </c>
      <c r="B36" s="733" t="s">
        <v>237</v>
      </c>
      <c r="C36" s="734"/>
      <c r="D36" s="120" t="s">
        <v>256</v>
      </c>
      <c r="E36" s="120" t="s">
        <v>261</v>
      </c>
      <c r="F36" s="120" t="s">
        <v>484</v>
      </c>
      <c r="G36" s="120"/>
      <c r="H36" s="120" t="s">
        <v>304</v>
      </c>
      <c r="I36" s="113"/>
      <c r="J36" s="113"/>
      <c r="K36" s="113"/>
    </row>
    <row r="37" spans="1:11" hidden="1">
      <c r="A37" s="122">
        <v>1</v>
      </c>
      <c r="B37" s="725">
        <v>2</v>
      </c>
      <c r="C37" s="726"/>
      <c r="D37" s="122">
        <v>3</v>
      </c>
      <c r="E37" s="122">
        <v>4</v>
      </c>
      <c r="F37" s="122">
        <v>5</v>
      </c>
      <c r="G37" s="122">
        <v>6</v>
      </c>
      <c r="H37" s="122">
        <v>7</v>
      </c>
      <c r="I37" s="113"/>
      <c r="J37" s="113"/>
      <c r="K37" s="113"/>
    </row>
    <row r="38" spans="1:11" hidden="1">
      <c r="A38" s="376">
        <v>1</v>
      </c>
      <c r="B38" s="735"/>
      <c r="C38" s="736"/>
      <c r="D38" s="125"/>
      <c r="E38" s="125"/>
      <c r="F38" s="125"/>
      <c r="G38" s="413"/>
      <c r="H38" s="413"/>
      <c r="I38" s="113"/>
      <c r="J38" s="113"/>
      <c r="K38" s="113"/>
    </row>
    <row r="39" spans="1:11" hidden="1">
      <c r="A39" s="376">
        <v>2</v>
      </c>
      <c r="B39" s="737"/>
      <c r="C39" s="738"/>
      <c r="D39" s="125"/>
      <c r="E39" s="125"/>
      <c r="F39" s="368"/>
      <c r="G39" s="368"/>
      <c r="H39" s="368"/>
      <c r="I39" s="113"/>
      <c r="J39" s="113"/>
      <c r="K39" s="113"/>
    </row>
    <row r="40" spans="1:11" hidden="1">
      <c r="A40" s="376"/>
      <c r="B40" s="354"/>
      <c r="C40" s="355"/>
      <c r="D40" s="125"/>
      <c r="E40" s="125"/>
      <c r="F40" s="125"/>
      <c r="G40" s="125"/>
      <c r="H40" s="125"/>
      <c r="I40" s="113"/>
      <c r="J40" s="113"/>
      <c r="K40" s="113"/>
    </row>
    <row r="41" spans="1:11" hidden="1">
      <c r="A41" s="377"/>
      <c r="B41" s="331"/>
      <c r="C41" s="332"/>
      <c r="D41" s="125"/>
      <c r="E41" s="125"/>
      <c r="F41" s="125">
        <f t="shared" ref="F41:F59" si="0">D41*E41</f>
        <v>0</v>
      </c>
      <c r="G41" s="125">
        <f t="shared" ref="G41:H56" si="1">F41</f>
        <v>0</v>
      </c>
      <c r="H41" s="125">
        <f t="shared" si="1"/>
        <v>0</v>
      </c>
      <c r="I41" s="113"/>
      <c r="J41" s="113"/>
      <c r="K41" s="113"/>
    </row>
    <row r="42" spans="1:11" hidden="1">
      <c r="A42" s="377"/>
      <c r="B42" s="331"/>
      <c r="C42" s="332"/>
      <c r="D42" s="125"/>
      <c r="E42" s="125"/>
      <c r="F42" s="125">
        <f t="shared" si="0"/>
        <v>0</v>
      </c>
      <c r="G42" s="125">
        <f t="shared" si="1"/>
        <v>0</v>
      </c>
      <c r="H42" s="125">
        <f t="shared" si="1"/>
        <v>0</v>
      </c>
      <c r="I42" s="113"/>
      <c r="J42" s="113"/>
      <c r="K42" s="113"/>
    </row>
    <row r="43" spans="1:11" hidden="1">
      <c r="A43" s="130"/>
      <c r="B43" s="331"/>
      <c r="C43" s="332"/>
      <c r="D43" s="125"/>
      <c r="E43" s="125"/>
      <c r="F43" s="125">
        <f t="shared" si="0"/>
        <v>0</v>
      </c>
      <c r="G43" s="125">
        <f t="shared" si="1"/>
        <v>0</v>
      </c>
      <c r="H43" s="125">
        <f t="shared" si="1"/>
        <v>0</v>
      </c>
      <c r="I43" s="113"/>
      <c r="J43" s="113"/>
      <c r="K43" s="113"/>
    </row>
    <row r="44" spans="1:11" hidden="1">
      <c r="A44" s="130"/>
      <c r="B44" s="331"/>
      <c r="C44" s="332"/>
      <c r="D44" s="125"/>
      <c r="E44" s="125"/>
      <c r="F44" s="125">
        <f t="shared" si="0"/>
        <v>0</v>
      </c>
      <c r="G44" s="125">
        <f t="shared" si="1"/>
        <v>0</v>
      </c>
      <c r="H44" s="125">
        <f t="shared" si="1"/>
        <v>0</v>
      </c>
      <c r="I44" s="113"/>
      <c r="J44" s="113"/>
      <c r="K44" s="113"/>
    </row>
    <row r="45" spans="1:11" hidden="1">
      <c r="A45" s="130"/>
      <c r="B45" s="331"/>
      <c r="C45" s="332"/>
      <c r="D45" s="125"/>
      <c r="E45" s="125"/>
      <c r="F45" s="125">
        <f t="shared" si="0"/>
        <v>0</v>
      </c>
      <c r="G45" s="125">
        <f t="shared" si="1"/>
        <v>0</v>
      </c>
      <c r="H45" s="125">
        <f t="shared" si="1"/>
        <v>0</v>
      </c>
      <c r="I45" s="113"/>
      <c r="J45" s="113"/>
      <c r="K45" s="113"/>
    </row>
    <row r="46" spans="1:11" hidden="1">
      <c r="A46" s="130"/>
      <c r="B46" s="331"/>
      <c r="C46" s="332"/>
      <c r="D46" s="125"/>
      <c r="E46" s="125"/>
      <c r="F46" s="125">
        <f t="shared" si="0"/>
        <v>0</v>
      </c>
      <c r="G46" s="125">
        <f t="shared" si="1"/>
        <v>0</v>
      </c>
      <c r="H46" s="125">
        <f t="shared" si="1"/>
        <v>0</v>
      </c>
      <c r="I46" s="113"/>
      <c r="J46" s="113"/>
      <c r="K46" s="113"/>
    </row>
    <row r="47" spans="1:11" hidden="1">
      <c r="A47" s="130"/>
      <c r="B47" s="331"/>
      <c r="C47" s="332"/>
      <c r="D47" s="125"/>
      <c r="E47" s="125"/>
      <c r="F47" s="125">
        <f t="shared" si="0"/>
        <v>0</v>
      </c>
      <c r="G47" s="125">
        <f t="shared" si="1"/>
        <v>0</v>
      </c>
      <c r="H47" s="125">
        <f t="shared" si="1"/>
        <v>0</v>
      </c>
      <c r="I47" s="113"/>
      <c r="J47" s="113"/>
      <c r="K47" s="113"/>
    </row>
    <row r="48" spans="1:11" hidden="1">
      <c r="A48" s="130"/>
      <c r="B48" s="331"/>
      <c r="C48" s="332"/>
      <c r="D48" s="125"/>
      <c r="E48" s="125"/>
      <c r="F48" s="125">
        <f t="shared" si="0"/>
        <v>0</v>
      </c>
      <c r="G48" s="125">
        <f t="shared" si="1"/>
        <v>0</v>
      </c>
      <c r="H48" s="125">
        <f t="shared" si="1"/>
        <v>0</v>
      </c>
      <c r="I48" s="113"/>
      <c r="J48" s="113"/>
      <c r="K48" s="113"/>
    </row>
    <row r="49" spans="1:11" hidden="1">
      <c r="A49" s="130"/>
      <c r="B49" s="331"/>
      <c r="C49" s="332"/>
      <c r="D49" s="125"/>
      <c r="E49" s="125"/>
      <c r="F49" s="125">
        <f t="shared" si="0"/>
        <v>0</v>
      </c>
      <c r="G49" s="125">
        <f t="shared" si="1"/>
        <v>0</v>
      </c>
      <c r="H49" s="125">
        <f t="shared" si="1"/>
        <v>0</v>
      </c>
      <c r="I49" s="113"/>
      <c r="J49" s="113"/>
      <c r="K49" s="113"/>
    </row>
    <row r="50" spans="1:11" hidden="1">
      <c r="A50" s="130"/>
      <c r="B50" s="331"/>
      <c r="C50" s="332"/>
      <c r="D50" s="125"/>
      <c r="E50" s="125"/>
      <c r="F50" s="125">
        <f t="shared" si="0"/>
        <v>0</v>
      </c>
      <c r="G50" s="125">
        <f t="shared" si="1"/>
        <v>0</v>
      </c>
      <c r="H50" s="125">
        <f t="shared" si="1"/>
        <v>0</v>
      </c>
      <c r="I50" s="113"/>
      <c r="J50" s="113"/>
      <c r="K50" s="113"/>
    </row>
    <row r="51" spans="1:11" hidden="1">
      <c r="A51" s="130"/>
      <c r="B51" s="331"/>
      <c r="C51" s="332"/>
      <c r="D51" s="125"/>
      <c r="E51" s="125"/>
      <c r="F51" s="125">
        <f t="shared" si="0"/>
        <v>0</v>
      </c>
      <c r="G51" s="125">
        <f t="shared" si="1"/>
        <v>0</v>
      </c>
      <c r="H51" s="125">
        <f t="shared" si="1"/>
        <v>0</v>
      </c>
      <c r="I51" s="113"/>
      <c r="J51" s="113"/>
      <c r="K51" s="113"/>
    </row>
    <row r="52" spans="1:11" hidden="1">
      <c r="A52" s="130"/>
      <c r="B52" s="331"/>
      <c r="C52" s="332"/>
      <c r="D52" s="125"/>
      <c r="E52" s="125"/>
      <c r="F52" s="125">
        <f t="shared" si="0"/>
        <v>0</v>
      </c>
      <c r="G52" s="125">
        <f t="shared" si="1"/>
        <v>0</v>
      </c>
      <c r="H52" s="125">
        <f t="shared" si="1"/>
        <v>0</v>
      </c>
      <c r="I52" s="113"/>
      <c r="J52" s="113"/>
      <c r="K52" s="113"/>
    </row>
    <row r="53" spans="1:11" hidden="1">
      <c r="A53" s="130"/>
      <c r="B53" s="331"/>
      <c r="C53" s="332"/>
      <c r="D53" s="125"/>
      <c r="E53" s="125"/>
      <c r="F53" s="125">
        <f t="shared" si="0"/>
        <v>0</v>
      </c>
      <c r="G53" s="125">
        <f t="shared" si="1"/>
        <v>0</v>
      </c>
      <c r="H53" s="125">
        <f t="shared" si="1"/>
        <v>0</v>
      </c>
      <c r="I53" s="113"/>
      <c r="J53" s="113"/>
      <c r="K53" s="113"/>
    </row>
    <row r="54" spans="1:11" hidden="1">
      <c r="A54" s="130"/>
      <c r="B54" s="331"/>
      <c r="C54" s="332"/>
      <c r="D54" s="125"/>
      <c r="E54" s="125"/>
      <c r="F54" s="125">
        <f t="shared" si="0"/>
        <v>0</v>
      </c>
      <c r="G54" s="125">
        <f t="shared" si="1"/>
        <v>0</v>
      </c>
      <c r="H54" s="125">
        <f t="shared" si="1"/>
        <v>0</v>
      </c>
      <c r="I54" s="113"/>
      <c r="J54" s="113"/>
      <c r="K54" s="113"/>
    </row>
    <row r="55" spans="1:11" hidden="1">
      <c r="A55" s="130"/>
      <c r="B55" s="331"/>
      <c r="C55" s="332"/>
      <c r="D55" s="125"/>
      <c r="E55" s="125"/>
      <c r="F55" s="125">
        <f t="shared" si="0"/>
        <v>0</v>
      </c>
      <c r="G55" s="125">
        <f t="shared" si="1"/>
        <v>0</v>
      </c>
      <c r="H55" s="125">
        <f t="shared" si="1"/>
        <v>0</v>
      </c>
      <c r="I55" s="113"/>
      <c r="J55" s="113"/>
      <c r="K55" s="113"/>
    </row>
    <row r="56" spans="1:11" hidden="1">
      <c r="A56" s="124"/>
      <c r="B56" s="725"/>
      <c r="C56" s="726"/>
      <c r="D56" s="125"/>
      <c r="E56" s="125"/>
      <c r="F56" s="125">
        <f t="shared" si="0"/>
        <v>0</v>
      </c>
      <c r="G56" s="125">
        <f t="shared" si="1"/>
        <v>0</v>
      </c>
      <c r="H56" s="125">
        <f t="shared" si="1"/>
        <v>0</v>
      </c>
      <c r="I56" s="113"/>
      <c r="J56" s="113"/>
      <c r="K56" s="113"/>
    </row>
    <row r="57" spans="1:11" hidden="1">
      <c r="A57" s="124"/>
      <c r="B57" s="725"/>
      <c r="C57" s="726"/>
      <c r="D57" s="125"/>
      <c r="E57" s="125"/>
      <c r="F57" s="125">
        <f t="shared" si="0"/>
        <v>0</v>
      </c>
      <c r="G57" s="125"/>
      <c r="H57" s="125">
        <f t="shared" ref="H57" si="2">G57</f>
        <v>0</v>
      </c>
      <c r="I57" s="113"/>
      <c r="J57" s="113"/>
      <c r="K57" s="113"/>
    </row>
    <row r="58" spans="1:11" hidden="1">
      <c r="A58" s="124"/>
      <c r="B58" s="725"/>
      <c r="C58" s="726"/>
      <c r="D58" s="125"/>
      <c r="E58" s="125"/>
      <c r="F58" s="125">
        <f t="shared" si="0"/>
        <v>0</v>
      </c>
      <c r="G58" s="125"/>
      <c r="H58" s="125"/>
      <c r="I58" s="113"/>
      <c r="J58" s="113"/>
      <c r="K58" s="113"/>
    </row>
    <row r="59" spans="1:11" hidden="1">
      <c r="A59" s="124"/>
      <c r="B59" s="725"/>
      <c r="C59" s="726"/>
      <c r="D59" s="125"/>
      <c r="E59" s="125"/>
      <c r="F59" s="125">
        <f t="shared" si="0"/>
        <v>0</v>
      </c>
      <c r="G59" s="125"/>
      <c r="H59" s="125"/>
      <c r="I59" s="113"/>
      <c r="J59" s="113"/>
      <c r="K59" s="113"/>
    </row>
    <row r="60" spans="1:11" hidden="1">
      <c r="A60" s="166"/>
      <c r="B60" s="727" t="s">
        <v>216</v>
      </c>
      <c r="C60" s="728"/>
      <c r="D60" s="167"/>
      <c r="E60" s="167"/>
      <c r="F60" s="167">
        <f>SUM(F38:F59)</f>
        <v>0</v>
      </c>
      <c r="G60" s="167">
        <f t="shared" ref="G60:H60" si="3">SUM(G38:G59)</f>
        <v>0</v>
      </c>
      <c r="H60" s="167">
        <f t="shared" si="3"/>
        <v>0</v>
      </c>
      <c r="I60" s="171"/>
      <c r="J60" s="171"/>
      <c r="K60" s="171"/>
    </row>
    <row r="61" spans="1:11">
      <c r="A61" s="471" t="s">
        <v>205</v>
      </c>
      <c r="B61" s="471"/>
      <c r="C61" s="471"/>
      <c r="D61" s="342" t="s">
        <v>491</v>
      </c>
      <c r="E61" s="113"/>
      <c r="F61" s="423"/>
      <c r="G61" s="423"/>
      <c r="H61" s="423"/>
      <c r="I61" s="171"/>
      <c r="J61" s="171"/>
      <c r="K61" s="171"/>
    </row>
    <row r="62" spans="1:11" ht="63">
      <c r="A62" s="126" t="s">
        <v>218</v>
      </c>
      <c r="B62" s="733" t="s">
        <v>237</v>
      </c>
      <c r="C62" s="734"/>
      <c r="D62" s="415" t="s">
        <v>515</v>
      </c>
      <c r="E62" s="393" t="s">
        <v>505</v>
      </c>
      <c r="F62" s="120" t="s">
        <v>303</v>
      </c>
      <c r="G62" s="120" t="s">
        <v>304</v>
      </c>
      <c r="H62" s="120" t="s">
        <v>422</v>
      </c>
      <c r="I62" s="171"/>
      <c r="J62" s="171"/>
      <c r="K62" s="171"/>
    </row>
    <row r="63" spans="1:11">
      <c r="A63" s="122">
        <v>1</v>
      </c>
      <c r="B63" s="725">
        <v>2</v>
      </c>
      <c r="C63" s="726"/>
      <c r="D63" s="122">
        <v>3</v>
      </c>
      <c r="E63" s="122">
        <v>4</v>
      </c>
      <c r="F63" s="122">
        <v>5</v>
      </c>
      <c r="G63" s="122">
        <v>6</v>
      </c>
      <c r="H63" s="122">
        <v>7</v>
      </c>
      <c r="I63" s="171"/>
      <c r="J63" s="171"/>
      <c r="K63" s="171"/>
    </row>
    <row r="64" spans="1:11" ht="15.75">
      <c r="A64" s="370"/>
      <c r="B64" s="416" t="s">
        <v>516</v>
      </c>
      <c r="C64" s="416"/>
      <c r="D64" s="417"/>
      <c r="E64" s="418"/>
      <c r="F64" s="125"/>
      <c r="G64" s="125"/>
      <c r="H64" s="125"/>
      <c r="I64" s="171"/>
      <c r="J64" s="171"/>
      <c r="K64" s="171"/>
    </row>
    <row r="65" spans="1:11" ht="31.5">
      <c r="A65" s="370"/>
      <c r="B65" s="410" t="s">
        <v>523</v>
      </c>
      <c r="C65" s="410"/>
      <c r="D65" s="419" t="s">
        <v>526</v>
      </c>
      <c r="E65" s="411"/>
      <c r="F65" s="125"/>
      <c r="G65" s="125"/>
      <c r="H65" s="125"/>
      <c r="I65" s="171"/>
      <c r="J65" s="171"/>
      <c r="K65" s="171"/>
    </row>
    <row r="66" spans="1:11" ht="15.75">
      <c r="A66" s="370"/>
      <c r="B66" s="410" t="s">
        <v>518</v>
      </c>
      <c r="C66" s="410"/>
      <c r="D66" s="420">
        <v>12320</v>
      </c>
      <c r="E66" s="421">
        <f>52.46*0.03</f>
        <v>1.5737999999999999</v>
      </c>
      <c r="F66" s="343">
        <f>D66*E66</f>
        <v>19389.215999999997</v>
      </c>
      <c r="G66" s="125">
        <v>20763.73</v>
      </c>
      <c r="H66" s="125">
        <v>22141.49</v>
      </c>
      <c r="I66" s="171"/>
      <c r="J66" s="171"/>
      <c r="K66" s="171"/>
    </row>
    <row r="67" spans="1:11" ht="15.75">
      <c r="A67" s="370"/>
      <c r="B67" s="416"/>
      <c r="C67" s="416"/>
      <c r="D67" s="422"/>
      <c r="E67" s="418"/>
      <c r="F67" s="125"/>
      <c r="G67" s="125"/>
      <c r="H67" s="125"/>
      <c r="I67" s="171"/>
      <c r="J67" s="171"/>
      <c r="K67" s="171"/>
    </row>
    <row r="68" spans="1:11">
      <c r="A68" s="166"/>
      <c r="B68" s="727" t="s">
        <v>511</v>
      </c>
      <c r="C68" s="728"/>
      <c r="D68" s="167"/>
      <c r="E68" s="167"/>
      <c r="F68" s="349">
        <f>SUM(F64:F67)</f>
        <v>19389.215999999997</v>
      </c>
      <c r="G68" s="349">
        <f>SUM(G64:G67)</f>
        <v>20763.73</v>
      </c>
      <c r="H68" s="349">
        <f>SUM(H64:H67)</f>
        <v>22141.49</v>
      </c>
      <c r="I68" s="171"/>
      <c r="J68" s="171"/>
      <c r="K68" s="171"/>
    </row>
    <row r="69" spans="1:11">
      <c r="A69" s="424"/>
      <c r="B69" s="425"/>
      <c r="C69" s="425"/>
      <c r="D69" s="423"/>
      <c r="E69" s="423"/>
      <c r="F69" s="426"/>
      <c r="G69" s="426"/>
      <c r="H69" s="426"/>
      <c r="I69" s="171"/>
      <c r="J69" s="171"/>
      <c r="K69" s="171"/>
    </row>
    <row r="70" spans="1:11">
      <c r="A70" s="471" t="s">
        <v>205</v>
      </c>
      <c r="B70" s="471"/>
      <c r="C70" s="471"/>
      <c r="D70" s="342" t="s">
        <v>524</v>
      </c>
      <c r="E70" s="113"/>
      <c r="F70" s="423"/>
      <c r="G70" s="423"/>
      <c r="H70" s="423"/>
      <c r="I70" s="171"/>
      <c r="J70" s="171"/>
      <c r="K70" s="171"/>
    </row>
    <row r="71" spans="1:11" ht="63">
      <c r="A71" s="126" t="s">
        <v>218</v>
      </c>
      <c r="B71" s="733" t="s">
        <v>237</v>
      </c>
      <c r="C71" s="734"/>
      <c r="D71" s="415" t="s">
        <v>515</v>
      </c>
      <c r="E71" s="393" t="s">
        <v>505</v>
      </c>
      <c r="F71" s="120" t="s">
        <v>303</v>
      </c>
      <c r="G71" s="120" t="s">
        <v>304</v>
      </c>
      <c r="H71" s="120" t="s">
        <v>422</v>
      </c>
      <c r="I71" s="171"/>
      <c r="J71" s="171"/>
      <c r="K71" s="171"/>
    </row>
    <row r="72" spans="1:11">
      <c r="A72" s="122">
        <v>1</v>
      </c>
      <c r="B72" s="725">
        <v>2</v>
      </c>
      <c r="C72" s="726"/>
      <c r="D72" s="122">
        <v>3</v>
      </c>
      <c r="E72" s="122">
        <v>4</v>
      </c>
      <c r="F72" s="122">
        <v>5</v>
      </c>
      <c r="G72" s="122">
        <v>6</v>
      </c>
      <c r="H72" s="122">
        <v>7</v>
      </c>
      <c r="I72" s="171"/>
      <c r="J72" s="171"/>
      <c r="K72" s="171"/>
    </row>
    <row r="73" spans="1:11" ht="15.75">
      <c r="A73" s="370"/>
      <c r="B73" s="416" t="s">
        <v>516</v>
      </c>
      <c r="C73" s="416"/>
      <c r="D73" s="417"/>
      <c r="E73" s="418"/>
      <c r="F73" s="125"/>
      <c r="G73" s="125"/>
      <c r="H73" s="125"/>
      <c r="I73" s="171"/>
      <c r="J73" s="171"/>
      <c r="K73" s="171"/>
    </row>
    <row r="74" spans="1:11" ht="31.5">
      <c r="A74" s="370"/>
      <c r="B74" s="410" t="s">
        <v>523</v>
      </c>
      <c r="C74" s="410"/>
      <c r="D74" s="419" t="s">
        <v>527</v>
      </c>
      <c r="E74" s="411"/>
      <c r="F74" s="125"/>
      <c r="G74" s="125"/>
      <c r="H74" s="125"/>
      <c r="I74" s="171"/>
      <c r="J74" s="171"/>
      <c r="K74" s="171"/>
    </row>
    <row r="75" spans="1:11" ht="15.75">
      <c r="A75" s="370"/>
      <c r="B75" s="410" t="s">
        <v>518</v>
      </c>
      <c r="C75" s="410"/>
      <c r="D75" s="420">
        <v>12320</v>
      </c>
      <c r="E75" s="421">
        <f>52.46*0.92</f>
        <v>48.263200000000005</v>
      </c>
      <c r="F75" s="343">
        <f>D75*E75</f>
        <v>594602.62400000007</v>
      </c>
      <c r="G75" s="125">
        <v>636754.35</v>
      </c>
      <c r="H75" s="125">
        <v>679005.82</v>
      </c>
      <c r="I75" s="171"/>
      <c r="J75" s="171"/>
      <c r="K75" s="171"/>
    </row>
    <row r="76" spans="1:11" ht="15.75">
      <c r="A76" s="370"/>
      <c r="B76" s="416"/>
      <c r="C76" s="416"/>
      <c r="D76" s="422"/>
      <c r="E76" s="418"/>
      <c r="F76" s="125"/>
      <c r="G76" s="125"/>
      <c r="H76" s="125"/>
      <c r="I76" s="171"/>
      <c r="J76" s="171"/>
      <c r="K76" s="171"/>
    </row>
    <row r="77" spans="1:11" ht="15.75" thickBot="1">
      <c r="A77" s="166"/>
      <c r="B77" s="727" t="s">
        <v>511</v>
      </c>
      <c r="C77" s="728"/>
      <c r="D77" s="167"/>
      <c r="E77" s="167"/>
      <c r="F77" s="349">
        <f>SUM(F73:F76)</f>
        <v>594602.62400000007</v>
      </c>
      <c r="G77" s="349">
        <f>SUM(G73:G76)</f>
        <v>636754.35</v>
      </c>
      <c r="H77" s="349">
        <f>SUM(H73:H76)</f>
        <v>679005.82</v>
      </c>
      <c r="I77" s="113"/>
      <c r="J77" s="113"/>
      <c r="K77" s="113"/>
    </row>
    <row r="78" spans="1:11" ht="15.75" thickBot="1">
      <c r="A78" s="131"/>
      <c r="B78" s="729" t="s">
        <v>264</v>
      </c>
      <c r="C78" s="730"/>
      <c r="D78" s="730"/>
      <c r="E78" s="731"/>
      <c r="F78" s="175">
        <f>F77+F68+F32</f>
        <v>646307.20000000007</v>
      </c>
      <c r="G78" s="175">
        <f>G77+G68+G32</f>
        <v>692124.29999999993</v>
      </c>
      <c r="H78" s="175">
        <f>H77+H68+H32</f>
        <v>738049.79999999993</v>
      </c>
      <c r="I78" s="113"/>
      <c r="J78" s="113"/>
      <c r="K78" s="113"/>
    </row>
    <row r="79" spans="1:11" hidden="1">
      <c r="A79" s="18"/>
      <c r="B79" s="113"/>
      <c r="C79" s="113"/>
      <c r="D79" s="113"/>
      <c r="E79" s="113"/>
      <c r="F79" s="113"/>
      <c r="G79" s="356"/>
      <c r="H79" s="113"/>
      <c r="I79" s="113"/>
      <c r="J79" s="113"/>
      <c r="K79" s="113"/>
    </row>
    <row r="80" spans="1:11">
      <c r="A80" s="18"/>
      <c r="B80" s="113"/>
      <c r="C80" s="113"/>
      <c r="D80" s="113"/>
      <c r="E80" s="113"/>
      <c r="F80" s="113"/>
      <c r="G80" s="113"/>
      <c r="H80" s="113"/>
      <c r="I80" s="113"/>
      <c r="J80" s="113"/>
      <c r="K80" s="113"/>
    </row>
    <row r="81" spans="1:11">
      <c r="A81" s="732" t="s">
        <v>179</v>
      </c>
      <c r="B81" s="732"/>
      <c r="C81" s="732"/>
      <c r="D81" s="378" t="s">
        <v>474</v>
      </c>
      <c r="E81" s="379"/>
      <c r="F81" s="378"/>
      <c r="G81" s="379"/>
      <c r="H81" s="378" t="s">
        <v>475</v>
      </c>
      <c r="I81" s="326"/>
      <c r="J81" s="132"/>
      <c r="K81" s="132"/>
    </row>
    <row r="82" spans="1:11">
      <c r="A82" s="732" t="s">
        <v>180</v>
      </c>
      <c r="B82" s="732"/>
      <c r="C82" s="732"/>
      <c r="D82" s="134" t="s">
        <v>265</v>
      </c>
      <c r="E82" s="135"/>
      <c r="F82" s="134" t="s">
        <v>266</v>
      </c>
      <c r="G82" s="135"/>
      <c r="H82" s="330" t="s">
        <v>267</v>
      </c>
      <c r="I82" s="330"/>
      <c r="J82" s="135"/>
      <c r="K82" s="135"/>
    </row>
    <row r="83" spans="1:11">
      <c r="A83" s="329"/>
      <c r="B83" s="333"/>
      <c r="C83" s="333"/>
      <c r="D83" s="333"/>
      <c r="E83" s="333"/>
      <c r="F83" s="333"/>
      <c r="G83" s="333"/>
      <c r="H83" s="333"/>
      <c r="I83" s="333"/>
      <c r="J83" s="333"/>
      <c r="K83" s="333"/>
    </row>
    <row r="84" spans="1:11">
      <c r="A84" s="723" t="s">
        <v>182</v>
      </c>
      <c r="B84" s="723"/>
      <c r="C84" s="359" t="s">
        <v>476</v>
      </c>
      <c r="D84" s="360"/>
      <c r="E84" s="359" t="s">
        <v>477</v>
      </c>
      <c r="F84" s="132"/>
      <c r="G84" s="326"/>
      <c r="H84" s="326"/>
      <c r="I84" s="333"/>
      <c r="J84" s="333"/>
      <c r="K84" s="333"/>
    </row>
    <row r="85" spans="1:11">
      <c r="A85" s="333"/>
      <c r="B85" s="333"/>
      <c r="C85" s="134" t="s">
        <v>268</v>
      </c>
      <c r="D85" s="135"/>
      <c r="E85" s="330" t="s">
        <v>183</v>
      </c>
      <c r="F85" s="135"/>
      <c r="G85" s="724" t="s">
        <v>184</v>
      </c>
      <c r="H85" s="724"/>
      <c r="I85" s="333"/>
      <c r="J85" s="333"/>
      <c r="K85" s="333"/>
    </row>
    <row r="86" spans="1:11">
      <c r="A86" s="723" t="s">
        <v>528</v>
      </c>
      <c r="B86" s="723"/>
      <c r="C86" s="723"/>
      <c r="D86" s="723"/>
      <c r="E86" s="723"/>
      <c r="F86" s="333"/>
      <c r="G86" s="333"/>
      <c r="H86" s="333"/>
      <c r="I86" s="333"/>
      <c r="J86" s="333"/>
      <c r="K86" s="333"/>
    </row>
  </sheetData>
  <mergeCells count="30">
    <mergeCell ref="B57:C57"/>
    <mergeCell ref="B13:C13"/>
    <mergeCell ref="B14:C14"/>
    <mergeCell ref="B32:C32"/>
    <mergeCell ref="A4:K4"/>
    <mergeCell ref="A6:B6"/>
    <mergeCell ref="A8:C8"/>
    <mergeCell ref="B56:C56"/>
    <mergeCell ref="A1:H1"/>
    <mergeCell ref="B36:C36"/>
    <mergeCell ref="B37:C37"/>
    <mergeCell ref="B38:C38"/>
    <mergeCell ref="B39:C39"/>
    <mergeCell ref="B78:E78"/>
    <mergeCell ref="B58:C58"/>
    <mergeCell ref="B59:C59"/>
    <mergeCell ref="B60:C60"/>
    <mergeCell ref="A61:C61"/>
    <mergeCell ref="B62:C62"/>
    <mergeCell ref="B63:C63"/>
    <mergeCell ref="B68:C68"/>
    <mergeCell ref="A70:C70"/>
    <mergeCell ref="B71:C71"/>
    <mergeCell ref="B72:C72"/>
    <mergeCell ref="B77:C77"/>
    <mergeCell ref="A81:C81"/>
    <mergeCell ref="A82:C82"/>
    <mergeCell ref="A84:B84"/>
    <mergeCell ref="G85:H85"/>
    <mergeCell ref="A86:E86"/>
  </mergeCells>
  <pageMargins left="0.25" right="0.25" top="0.75" bottom="0.75" header="0.3" footer="0.3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I22" sqref="I22"/>
    </sheetView>
  </sheetViews>
  <sheetFormatPr defaultRowHeight="15"/>
  <cols>
    <col min="1" max="1" width="3.42578125" customWidth="1"/>
    <col min="2" max="2" width="24" customWidth="1"/>
    <col min="3" max="3" width="16.140625" customWidth="1"/>
    <col min="4" max="4" width="11.85546875" customWidth="1"/>
    <col min="5" max="5" width="11.140625" customWidth="1"/>
    <col min="6" max="6" width="13.7109375" customWidth="1"/>
    <col min="7" max="7" width="12.42578125" customWidth="1"/>
    <col min="8" max="8" width="11.7109375" customWidth="1"/>
    <col min="11" max="11" width="11.140625" customWidth="1"/>
  </cols>
  <sheetData>
    <row r="1" spans="1:11" ht="49.5" customHeight="1">
      <c r="A1" s="770" t="s">
        <v>203</v>
      </c>
      <c r="B1" s="770"/>
      <c r="C1" s="770"/>
      <c r="D1" s="770"/>
      <c r="E1" s="770"/>
      <c r="F1" s="770"/>
      <c r="G1" s="770"/>
      <c r="H1" s="770"/>
      <c r="I1" s="337"/>
      <c r="J1" s="337"/>
      <c r="K1" s="337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341" t="s">
        <v>346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300</v>
      </c>
      <c r="E8" s="113"/>
      <c r="F8" s="113"/>
      <c r="G8" s="113"/>
      <c r="H8" s="113"/>
      <c r="I8" s="113"/>
      <c r="J8" s="113"/>
      <c r="K8" s="113"/>
    </row>
    <row r="9" spans="1:11">
      <c r="A9" s="324"/>
      <c r="B9" s="324"/>
      <c r="C9" s="324"/>
      <c r="D9" s="113"/>
      <c r="E9" s="113"/>
      <c r="F9" s="113"/>
      <c r="G9" s="113"/>
      <c r="H9" s="113"/>
      <c r="I9" s="113"/>
      <c r="J9" s="113"/>
      <c r="K9" s="113"/>
    </row>
    <row r="10" spans="1:11">
      <c r="A10" s="67" t="s">
        <v>262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>
      <c r="A11" s="18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47.25">
      <c r="A12" s="126" t="s">
        <v>218</v>
      </c>
      <c r="B12" s="733" t="s">
        <v>237</v>
      </c>
      <c r="C12" s="734"/>
      <c r="D12" s="415" t="s">
        <v>515</v>
      </c>
      <c r="E12" s="393" t="s">
        <v>505</v>
      </c>
      <c r="F12" s="120" t="s">
        <v>484</v>
      </c>
      <c r="G12" s="120" t="s">
        <v>303</v>
      </c>
      <c r="H12" s="120" t="s">
        <v>304</v>
      </c>
      <c r="I12" s="113"/>
      <c r="J12" s="113"/>
      <c r="K12" s="113"/>
    </row>
    <row r="13" spans="1:11">
      <c r="A13" s="122">
        <v>1</v>
      </c>
      <c r="B13" s="725">
        <v>2</v>
      </c>
      <c r="C13" s="726"/>
      <c r="D13" s="122">
        <v>3</v>
      </c>
      <c r="E13" s="122">
        <v>4</v>
      </c>
      <c r="F13" s="122">
        <v>5</v>
      </c>
      <c r="G13" s="122">
        <v>6</v>
      </c>
      <c r="H13" s="122">
        <v>7</v>
      </c>
      <c r="I13" s="113"/>
      <c r="J13" s="113"/>
      <c r="K13" s="113"/>
    </row>
    <row r="14" spans="1:11" ht="15.75">
      <c r="A14" s="370"/>
      <c r="B14" s="416" t="s">
        <v>516</v>
      </c>
      <c r="C14" s="416"/>
      <c r="D14" s="417"/>
      <c r="E14" s="418"/>
      <c r="F14" s="125">
        <f>D14*E14</f>
        <v>0</v>
      </c>
      <c r="G14" s="125">
        <f>F14</f>
        <v>0</v>
      </c>
      <c r="H14" s="125">
        <f>G14</f>
        <v>0</v>
      </c>
      <c r="I14" s="113"/>
      <c r="J14" s="113"/>
      <c r="K14" s="113"/>
    </row>
    <row r="15" spans="1:11" ht="15.75">
      <c r="A15" s="370"/>
      <c r="B15" s="410" t="s">
        <v>547</v>
      </c>
      <c r="C15" s="410"/>
      <c r="D15" s="420">
        <f>8*170</f>
        <v>1360</v>
      </c>
      <c r="E15" s="411">
        <v>85</v>
      </c>
      <c r="F15" s="125">
        <f t="shared" ref="F15:F39" si="0">D15*E15</f>
        <v>115600</v>
      </c>
      <c r="G15" s="125">
        <v>0</v>
      </c>
      <c r="H15" s="125">
        <v>0</v>
      </c>
      <c r="I15" s="113"/>
      <c r="J15" s="113"/>
      <c r="K15" s="113"/>
    </row>
    <row r="16" spans="1:11" ht="15.75">
      <c r="A16" s="370"/>
      <c r="B16" s="410" t="s">
        <v>546</v>
      </c>
      <c r="C16" s="410"/>
      <c r="D16" s="420">
        <f>8*170</f>
        <v>1360</v>
      </c>
      <c r="E16" s="411">
        <v>60</v>
      </c>
      <c r="F16" s="125">
        <f t="shared" si="0"/>
        <v>81600</v>
      </c>
      <c r="G16" s="125">
        <v>0</v>
      </c>
      <c r="H16" s="125">
        <v>0</v>
      </c>
      <c r="I16" s="113"/>
      <c r="J16" s="113"/>
      <c r="K16" s="113"/>
    </row>
    <row r="17" spans="1:11" ht="15.75">
      <c r="A17" s="370"/>
      <c r="B17" s="410" t="s">
        <v>545</v>
      </c>
      <c r="C17" s="410"/>
      <c r="D17" s="420">
        <f>3*170</f>
        <v>510</v>
      </c>
      <c r="E17" s="411">
        <v>76.069999999999993</v>
      </c>
      <c r="F17" s="125">
        <f t="shared" si="0"/>
        <v>38795.699999999997</v>
      </c>
      <c r="G17" s="125">
        <v>0</v>
      </c>
      <c r="H17" s="125">
        <v>0</v>
      </c>
      <c r="I17" s="113"/>
      <c r="J17" s="113"/>
      <c r="K17" s="113"/>
    </row>
    <row r="18" spans="1:11" ht="15.75">
      <c r="A18" s="370"/>
      <c r="B18" s="410" t="s">
        <v>534</v>
      </c>
      <c r="C18" s="410"/>
      <c r="D18" s="420">
        <f>3*170</f>
        <v>510</v>
      </c>
      <c r="E18" s="411">
        <f>E22/2</f>
        <v>42.5</v>
      </c>
      <c r="F18" s="125">
        <f>D18*E18</f>
        <v>21675</v>
      </c>
      <c r="G18" s="125">
        <f>F18</f>
        <v>21675</v>
      </c>
      <c r="H18" s="125">
        <f t="shared" ref="G18:H30" si="1">G18</f>
        <v>21675</v>
      </c>
      <c r="I18" s="113"/>
      <c r="J18" s="113"/>
      <c r="K18" s="113"/>
    </row>
    <row r="19" spans="1:11" ht="15.75" hidden="1">
      <c r="A19" s="370"/>
      <c r="B19" s="410" t="s">
        <v>535</v>
      </c>
      <c r="C19" s="410"/>
      <c r="D19" s="420"/>
      <c r="E19" s="411">
        <v>55</v>
      </c>
      <c r="F19" s="125">
        <f t="shared" si="0"/>
        <v>0</v>
      </c>
      <c r="G19" s="125">
        <f t="shared" si="1"/>
        <v>0</v>
      </c>
      <c r="H19" s="125">
        <f t="shared" si="1"/>
        <v>0</v>
      </c>
      <c r="I19" s="113"/>
      <c r="J19" s="113"/>
      <c r="K19" s="113"/>
    </row>
    <row r="20" spans="1:11" ht="15.75" hidden="1">
      <c r="A20" s="370"/>
      <c r="B20" s="410" t="s">
        <v>536</v>
      </c>
      <c r="C20" s="410"/>
      <c r="D20" s="420"/>
      <c r="E20" s="411">
        <v>60</v>
      </c>
      <c r="F20" s="125">
        <f t="shared" si="0"/>
        <v>0</v>
      </c>
      <c r="G20" s="125">
        <f t="shared" si="1"/>
        <v>0</v>
      </c>
      <c r="H20" s="125">
        <f t="shared" si="1"/>
        <v>0</v>
      </c>
      <c r="I20" s="113"/>
      <c r="J20" s="113"/>
      <c r="K20" s="113"/>
    </row>
    <row r="21" spans="1:11" ht="15.75" hidden="1">
      <c r="A21" s="370"/>
      <c r="B21" s="410" t="s">
        <v>537</v>
      </c>
      <c r="C21" s="410"/>
      <c r="D21" s="420"/>
      <c r="E21" s="411">
        <v>75</v>
      </c>
      <c r="F21" s="125">
        <f t="shared" si="0"/>
        <v>0</v>
      </c>
      <c r="G21" s="125"/>
      <c r="H21" s="125"/>
      <c r="I21" s="113"/>
      <c r="J21" s="113"/>
      <c r="K21" s="113"/>
    </row>
    <row r="22" spans="1:11" ht="15.75">
      <c r="A22" s="370"/>
      <c r="B22" s="410" t="s">
        <v>538</v>
      </c>
      <c r="C22" s="410"/>
      <c r="D22" s="420">
        <f>3*170</f>
        <v>510</v>
      </c>
      <c r="E22" s="411">
        <v>85</v>
      </c>
      <c r="F22" s="125">
        <f>D22*E22</f>
        <v>43350</v>
      </c>
      <c r="G22" s="125">
        <f>F22</f>
        <v>43350</v>
      </c>
      <c r="H22" s="125">
        <f t="shared" si="1"/>
        <v>43350</v>
      </c>
      <c r="I22" s="113"/>
      <c r="J22" s="113"/>
      <c r="K22" s="113"/>
    </row>
    <row r="23" spans="1:11" ht="15.75" hidden="1">
      <c r="A23" s="370"/>
      <c r="B23" s="410" t="s">
        <v>539</v>
      </c>
      <c r="C23" s="410"/>
      <c r="D23" s="420"/>
      <c r="E23" s="411">
        <f>E19</f>
        <v>55</v>
      </c>
      <c r="F23" s="125">
        <f t="shared" si="0"/>
        <v>0</v>
      </c>
      <c r="G23" s="125">
        <f t="shared" si="1"/>
        <v>0</v>
      </c>
      <c r="H23" s="125">
        <f t="shared" si="1"/>
        <v>0</v>
      </c>
      <c r="I23" s="113"/>
      <c r="J23" s="113"/>
      <c r="K23" s="113"/>
    </row>
    <row r="24" spans="1:11" ht="15.75" hidden="1">
      <c r="A24" s="370"/>
      <c r="B24" s="410" t="s">
        <v>540</v>
      </c>
      <c r="C24" s="410"/>
      <c r="D24" s="420"/>
      <c r="E24" s="411">
        <f>E20</f>
        <v>60</v>
      </c>
      <c r="F24" s="125">
        <f t="shared" si="0"/>
        <v>0</v>
      </c>
      <c r="G24" s="125"/>
      <c r="H24" s="125">
        <f t="shared" si="1"/>
        <v>0</v>
      </c>
      <c r="I24" s="113"/>
      <c r="J24" s="113"/>
      <c r="K24" s="113"/>
    </row>
    <row r="25" spans="1:11" ht="15.75" hidden="1">
      <c r="A25" s="370"/>
      <c r="B25" s="410" t="s">
        <v>541</v>
      </c>
      <c r="C25" s="410"/>
      <c r="D25" s="420"/>
      <c r="E25" s="411">
        <f>E21</f>
        <v>75</v>
      </c>
      <c r="F25" s="125">
        <f t="shared" si="0"/>
        <v>0</v>
      </c>
      <c r="G25" s="125"/>
      <c r="H25" s="125">
        <f t="shared" si="1"/>
        <v>0</v>
      </c>
      <c r="I25" s="113"/>
      <c r="J25" s="113"/>
      <c r="K25" s="113"/>
    </row>
    <row r="26" spans="1:11" ht="15.75">
      <c r="A26" s="370"/>
      <c r="B26" s="410" t="s">
        <v>542</v>
      </c>
      <c r="C26" s="410"/>
      <c r="D26" s="420">
        <f>21*170</f>
        <v>3570</v>
      </c>
      <c r="E26" s="411">
        <f>E22</f>
        <v>85</v>
      </c>
      <c r="F26" s="125">
        <f t="shared" si="0"/>
        <v>303450</v>
      </c>
      <c r="G26" s="125">
        <f>F26</f>
        <v>303450</v>
      </c>
      <c r="H26" s="125">
        <f t="shared" si="1"/>
        <v>303450</v>
      </c>
      <c r="I26" s="113"/>
      <c r="J26" s="113"/>
      <c r="K26" s="113"/>
    </row>
    <row r="27" spans="1:11" ht="15.75">
      <c r="A27" s="370"/>
      <c r="B27" s="416" t="s">
        <v>543</v>
      </c>
      <c r="C27" s="416"/>
      <c r="D27" s="422"/>
      <c r="E27" s="418"/>
      <c r="F27" s="125">
        <f t="shared" si="0"/>
        <v>0</v>
      </c>
      <c r="G27" s="125">
        <f t="shared" si="1"/>
        <v>0</v>
      </c>
      <c r="H27" s="125">
        <f t="shared" si="1"/>
        <v>0</v>
      </c>
      <c r="I27" s="113"/>
      <c r="J27" s="113"/>
      <c r="K27" s="113"/>
    </row>
    <row r="28" spans="1:11" ht="15.75" hidden="1">
      <c r="A28" s="370"/>
      <c r="B28" s="410" t="s">
        <v>531</v>
      </c>
      <c r="C28" s="410"/>
      <c r="D28" s="427"/>
      <c r="E28" s="411">
        <f>E15</f>
        <v>85</v>
      </c>
      <c r="F28" s="125">
        <f t="shared" si="0"/>
        <v>0</v>
      </c>
      <c r="G28" s="125">
        <f t="shared" si="1"/>
        <v>0</v>
      </c>
      <c r="H28" s="125">
        <f t="shared" si="1"/>
        <v>0</v>
      </c>
      <c r="I28" s="113"/>
      <c r="J28" s="113"/>
      <c r="K28" s="113"/>
    </row>
    <row r="29" spans="1:11" ht="15.75" hidden="1">
      <c r="A29" s="370"/>
      <c r="B29" s="410" t="s">
        <v>532</v>
      </c>
      <c r="C29" s="410"/>
      <c r="D29" s="427"/>
      <c r="E29" s="411">
        <f>E16</f>
        <v>60</v>
      </c>
      <c r="F29" s="125">
        <f t="shared" si="0"/>
        <v>0</v>
      </c>
      <c r="G29" s="125">
        <f t="shared" si="1"/>
        <v>0</v>
      </c>
      <c r="H29" s="125">
        <f t="shared" si="1"/>
        <v>0</v>
      </c>
      <c r="I29" s="113"/>
      <c r="J29" s="113"/>
      <c r="K29" s="113"/>
    </row>
    <row r="30" spans="1:11" ht="15.75" hidden="1">
      <c r="A30" s="370"/>
      <c r="B30" s="410" t="s">
        <v>533</v>
      </c>
      <c r="C30" s="410"/>
      <c r="D30" s="427"/>
      <c r="E30" s="411">
        <f>E17</f>
        <v>76.069999999999993</v>
      </c>
      <c r="F30" s="125">
        <f t="shared" si="0"/>
        <v>0</v>
      </c>
      <c r="G30" s="125">
        <f t="shared" si="1"/>
        <v>0</v>
      </c>
      <c r="H30" s="125">
        <f t="shared" si="1"/>
        <v>0</v>
      </c>
      <c r="I30" s="113"/>
      <c r="J30" s="113"/>
      <c r="K30" s="113"/>
    </row>
    <row r="31" spans="1:11" ht="15.75" hidden="1">
      <c r="A31" s="370"/>
      <c r="B31" s="410" t="s">
        <v>534</v>
      </c>
      <c r="C31" s="410"/>
      <c r="D31" s="427"/>
      <c r="E31" s="411">
        <f>E18</f>
        <v>42.5</v>
      </c>
      <c r="F31" s="125">
        <f t="shared" si="0"/>
        <v>0</v>
      </c>
      <c r="G31" s="125"/>
      <c r="H31" s="125"/>
      <c r="I31" s="113"/>
      <c r="J31" s="113"/>
      <c r="K31" s="113"/>
    </row>
    <row r="32" spans="1:11" ht="15.75" hidden="1">
      <c r="A32" s="370"/>
      <c r="B32" s="410" t="s">
        <v>535</v>
      </c>
      <c r="C32" s="410"/>
      <c r="D32" s="427"/>
      <c r="E32" s="411">
        <f t="shared" ref="E32:E39" si="2">E19</f>
        <v>55</v>
      </c>
      <c r="F32" s="125">
        <f t="shared" si="0"/>
        <v>0</v>
      </c>
      <c r="G32" s="125">
        <f t="shared" ref="G32:H38" si="3">F32</f>
        <v>0</v>
      </c>
      <c r="H32" s="125">
        <f t="shared" si="3"/>
        <v>0</v>
      </c>
      <c r="I32" s="113"/>
      <c r="J32" s="113"/>
      <c r="K32" s="113"/>
    </row>
    <row r="33" spans="1:11" ht="15.75" hidden="1">
      <c r="A33" s="370"/>
      <c r="B33" s="410" t="s">
        <v>536</v>
      </c>
      <c r="C33" s="410"/>
      <c r="D33" s="427"/>
      <c r="E33" s="411">
        <f t="shared" si="2"/>
        <v>60</v>
      </c>
      <c r="F33" s="125">
        <f t="shared" si="0"/>
        <v>0</v>
      </c>
      <c r="G33" s="125">
        <f t="shared" si="3"/>
        <v>0</v>
      </c>
      <c r="H33" s="125">
        <f t="shared" si="3"/>
        <v>0</v>
      </c>
      <c r="I33" s="113"/>
      <c r="J33" s="113"/>
      <c r="K33" s="113"/>
    </row>
    <row r="34" spans="1:11" ht="15.75" hidden="1">
      <c r="A34" s="371"/>
      <c r="B34" s="410" t="s">
        <v>537</v>
      </c>
      <c r="C34" s="410"/>
      <c r="D34" s="427"/>
      <c r="E34" s="411">
        <f t="shared" si="2"/>
        <v>75</v>
      </c>
      <c r="F34" s="125">
        <f t="shared" si="0"/>
        <v>0</v>
      </c>
      <c r="G34" s="125">
        <f t="shared" si="3"/>
        <v>0</v>
      </c>
      <c r="H34" s="125">
        <f t="shared" si="3"/>
        <v>0</v>
      </c>
      <c r="I34" s="113"/>
      <c r="J34" s="113"/>
      <c r="K34" s="113"/>
    </row>
    <row r="35" spans="1:11" ht="15.75">
      <c r="A35" s="370"/>
      <c r="B35" s="410" t="s">
        <v>538</v>
      </c>
      <c r="C35" s="410"/>
      <c r="D35" s="427">
        <f>3*34</f>
        <v>102</v>
      </c>
      <c r="E35" s="411">
        <f t="shared" si="2"/>
        <v>85</v>
      </c>
      <c r="F35" s="125">
        <f t="shared" si="0"/>
        <v>8670</v>
      </c>
      <c r="G35" s="125">
        <v>8670</v>
      </c>
      <c r="H35" s="125">
        <f t="shared" si="3"/>
        <v>8670</v>
      </c>
      <c r="I35" s="113"/>
      <c r="J35" s="113"/>
      <c r="K35" s="113"/>
    </row>
    <row r="36" spans="1:11" ht="15.75" hidden="1">
      <c r="A36" s="371"/>
      <c r="B36" s="410" t="s">
        <v>539</v>
      </c>
      <c r="C36" s="410"/>
      <c r="D36" s="427"/>
      <c r="E36" s="411">
        <f t="shared" si="2"/>
        <v>55</v>
      </c>
      <c r="F36" s="125">
        <f t="shared" si="0"/>
        <v>0</v>
      </c>
      <c r="G36" s="125">
        <f t="shared" si="3"/>
        <v>0</v>
      </c>
      <c r="H36" s="125">
        <f t="shared" si="3"/>
        <v>0</v>
      </c>
      <c r="I36" s="113"/>
      <c r="J36" s="113"/>
      <c r="K36" s="113"/>
    </row>
    <row r="37" spans="1:11" ht="15.75" hidden="1">
      <c r="A37" s="371"/>
      <c r="B37" s="410" t="s">
        <v>540</v>
      </c>
      <c r="C37" s="410"/>
      <c r="D37" s="427"/>
      <c r="E37" s="411">
        <f t="shared" si="2"/>
        <v>60</v>
      </c>
      <c r="F37" s="125">
        <f t="shared" si="0"/>
        <v>0</v>
      </c>
      <c r="G37" s="125">
        <f t="shared" si="3"/>
        <v>0</v>
      </c>
      <c r="H37" s="125">
        <f t="shared" si="3"/>
        <v>0</v>
      </c>
      <c r="I37" s="113"/>
      <c r="J37" s="113"/>
      <c r="K37" s="113"/>
    </row>
    <row r="38" spans="1:11" ht="15.75" hidden="1">
      <c r="A38" s="371"/>
      <c r="B38" s="410" t="s">
        <v>541</v>
      </c>
      <c r="C38" s="410"/>
      <c r="D38" s="427"/>
      <c r="E38" s="411">
        <f t="shared" si="2"/>
        <v>75</v>
      </c>
      <c r="F38" s="125">
        <f t="shared" si="0"/>
        <v>0</v>
      </c>
      <c r="G38" s="125">
        <f t="shared" si="3"/>
        <v>0</v>
      </c>
      <c r="H38" s="125">
        <f t="shared" si="3"/>
        <v>0</v>
      </c>
      <c r="I38" s="113"/>
      <c r="J38" s="113"/>
      <c r="K38" s="113"/>
    </row>
    <row r="39" spans="1:11" ht="15.75">
      <c r="A39" s="371"/>
      <c r="B39" s="410" t="s">
        <v>542</v>
      </c>
      <c r="C39" s="410"/>
      <c r="D39" s="427">
        <f>21*34</f>
        <v>714</v>
      </c>
      <c r="E39" s="411">
        <f t="shared" si="2"/>
        <v>85</v>
      </c>
      <c r="F39" s="125">
        <f t="shared" si="0"/>
        <v>60690</v>
      </c>
      <c r="G39" s="125">
        <v>60690</v>
      </c>
      <c r="H39" s="125">
        <f>G39</f>
        <v>60690</v>
      </c>
      <c r="I39" s="113"/>
      <c r="J39" s="113"/>
      <c r="K39" s="113"/>
    </row>
    <row r="40" spans="1:11" ht="15.75">
      <c r="A40" s="371"/>
      <c r="B40" s="428" t="s">
        <v>544</v>
      </c>
      <c r="C40" s="412"/>
      <c r="D40" s="427"/>
      <c r="E40" s="411"/>
      <c r="F40" s="125"/>
      <c r="G40" s="125"/>
      <c r="H40" s="125"/>
      <c r="I40" s="113"/>
      <c r="J40" s="113"/>
      <c r="K40" s="113"/>
    </row>
    <row r="41" spans="1:11">
      <c r="A41" s="166"/>
      <c r="B41" s="727" t="s">
        <v>511</v>
      </c>
      <c r="C41" s="728"/>
      <c r="D41" s="167"/>
      <c r="E41" s="167"/>
      <c r="F41" s="349">
        <f>SUM(F14:F40)*0.75-0.03</f>
        <v>505372.99499999994</v>
      </c>
      <c r="G41" s="349">
        <f>SUM(G14:G39)*0.75-0.25</f>
        <v>328376</v>
      </c>
      <c r="H41" s="349">
        <f>SUM(H14:H39)*0.75-0.25</f>
        <v>328376</v>
      </c>
      <c r="I41" s="171"/>
      <c r="J41" s="171"/>
      <c r="K41" s="171"/>
    </row>
    <row r="42" spans="1:11">
      <c r="A42" s="18"/>
      <c r="B42" s="113"/>
      <c r="C42" s="113"/>
      <c r="D42" s="113"/>
      <c r="E42" s="373"/>
      <c r="F42" s="374"/>
      <c r="G42" s="374"/>
      <c r="H42" s="375"/>
      <c r="I42" s="113"/>
      <c r="J42" s="113"/>
      <c r="K42" s="113"/>
    </row>
    <row r="43" spans="1:11" ht="15.75" thickBot="1">
      <c r="A43" s="18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ht="15.75" thickBot="1">
      <c r="A44" s="131"/>
      <c r="B44" s="729" t="s">
        <v>264</v>
      </c>
      <c r="C44" s="730"/>
      <c r="D44" s="730"/>
      <c r="E44" s="731"/>
      <c r="F44" s="175">
        <f>F41</f>
        <v>505372.99499999994</v>
      </c>
      <c r="G44" s="175">
        <f>G41</f>
        <v>328376</v>
      </c>
      <c r="H44" s="175">
        <f>H41</f>
        <v>328376</v>
      </c>
      <c r="I44" s="113"/>
      <c r="J44" s="113"/>
      <c r="K44" s="356"/>
    </row>
    <row r="45" spans="1:11">
      <c r="A45" s="18"/>
      <c r="B45" s="113"/>
      <c r="C45" s="113"/>
      <c r="D45" s="113"/>
      <c r="E45" s="113"/>
      <c r="F45" s="113"/>
      <c r="G45" s="356"/>
      <c r="H45" s="113"/>
      <c r="I45" s="113"/>
      <c r="J45" s="113"/>
      <c r="K45" s="113"/>
    </row>
    <row r="46" spans="1:11">
      <c r="A46" s="18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1:11">
      <c r="A47" s="732" t="s">
        <v>179</v>
      </c>
      <c r="B47" s="732"/>
      <c r="C47" s="732"/>
      <c r="D47" s="378" t="s">
        <v>492</v>
      </c>
      <c r="E47" s="379"/>
      <c r="F47" s="378"/>
      <c r="G47" s="379"/>
      <c r="H47" s="378" t="s">
        <v>475</v>
      </c>
      <c r="I47" s="326"/>
      <c r="J47" s="132"/>
      <c r="K47" s="132"/>
    </row>
    <row r="48" spans="1:11">
      <c r="A48" s="732" t="s">
        <v>180</v>
      </c>
      <c r="B48" s="732"/>
      <c r="C48" s="732"/>
      <c r="D48" s="134" t="s">
        <v>265</v>
      </c>
      <c r="E48" s="135"/>
      <c r="F48" s="134" t="s">
        <v>266</v>
      </c>
      <c r="G48" s="135"/>
      <c r="H48" s="330" t="s">
        <v>267</v>
      </c>
      <c r="I48" s="330"/>
      <c r="J48" s="135"/>
      <c r="K48" s="135"/>
    </row>
    <row r="49" spans="1:11">
      <c r="A49" s="329"/>
      <c r="B49" s="333"/>
      <c r="C49" s="333"/>
      <c r="D49" s="333"/>
      <c r="E49" s="333"/>
      <c r="F49" s="333"/>
      <c r="G49" s="333"/>
      <c r="H49" s="333"/>
      <c r="I49" s="333"/>
      <c r="J49" s="333"/>
      <c r="K49" s="333"/>
    </row>
    <row r="50" spans="1:11">
      <c r="A50" s="723" t="s">
        <v>182</v>
      </c>
      <c r="B50" s="723"/>
      <c r="C50" s="359" t="s">
        <v>476</v>
      </c>
      <c r="D50" s="360"/>
      <c r="E50" s="359" t="s">
        <v>477</v>
      </c>
      <c r="F50" s="132"/>
      <c r="G50" s="326"/>
      <c r="H50" s="326"/>
      <c r="I50" s="333"/>
      <c r="J50" s="333"/>
      <c r="K50" s="333"/>
    </row>
    <row r="51" spans="1:11">
      <c r="A51" s="333"/>
      <c r="B51" s="333"/>
      <c r="C51" s="134" t="s">
        <v>268</v>
      </c>
      <c r="D51" s="135"/>
      <c r="E51" s="330" t="s">
        <v>183</v>
      </c>
      <c r="F51" s="135"/>
      <c r="G51" s="724" t="s">
        <v>184</v>
      </c>
      <c r="H51" s="724"/>
      <c r="I51" s="333"/>
      <c r="J51" s="333"/>
      <c r="K51" s="333"/>
    </row>
    <row r="52" spans="1:11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K52" s="333"/>
    </row>
    <row r="53" spans="1:11">
      <c r="A53" s="333"/>
      <c r="B53" s="333"/>
      <c r="C53" s="333"/>
      <c r="D53" s="333"/>
      <c r="E53" s="333"/>
      <c r="F53" s="333"/>
      <c r="G53" s="333"/>
      <c r="H53" s="333"/>
      <c r="I53" s="333"/>
      <c r="J53" s="333"/>
      <c r="K53" s="333"/>
    </row>
    <row r="54" spans="1:11">
      <c r="A54" s="333"/>
      <c r="B54" s="333"/>
      <c r="C54" s="333"/>
      <c r="D54" s="333"/>
      <c r="E54" s="333"/>
      <c r="F54" s="333"/>
      <c r="G54" s="333"/>
      <c r="H54" s="333"/>
      <c r="I54" s="333"/>
      <c r="J54" s="333"/>
      <c r="K54" s="333"/>
    </row>
    <row r="55" spans="1:11">
      <c r="A55" s="333"/>
      <c r="B55" s="333"/>
      <c r="C55" s="333"/>
      <c r="D55" s="333"/>
      <c r="E55" s="333"/>
      <c r="F55" s="333"/>
      <c r="G55" s="333"/>
      <c r="H55" s="333"/>
      <c r="I55" s="333"/>
      <c r="J55" s="333"/>
      <c r="K55" s="333"/>
    </row>
    <row r="56" spans="1:11">
      <c r="A56" s="723" t="s">
        <v>548</v>
      </c>
      <c r="B56" s="723"/>
      <c r="C56" s="723"/>
      <c r="D56" s="723"/>
      <c r="E56" s="723"/>
      <c r="F56" s="333"/>
      <c r="G56" s="333"/>
      <c r="H56" s="333"/>
      <c r="I56" s="333"/>
      <c r="J56" s="333"/>
      <c r="K56" s="333"/>
    </row>
  </sheetData>
  <mergeCells count="13">
    <mergeCell ref="A50:B50"/>
    <mergeCell ref="G51:H51"/>
    <mergeCell ref="A56:E56"/>
    <mergeCell ref="A1:H1"/>
    <mergeCell ref="B44:E44"/>
    <mergeCell ref="A47:C47"/>
    <mergeCell ref="A48:C48"/>
    <mergeCell ref="B12:C12"/>
    <mergeCell ref="B13:C13"/>
    <mergeCell ref="B41:C41"/>
    <mergeCell ref="A4:K4"/>
    <mergeCell ref="A6:B6"/>
    <mergeCell ref="A8:C8"/>
  </mergeCells>
  <pageMargins left="0.25" right="0.25" top="0.75" bottom="0.75" header="0.3" footer="0.3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2"/>
  <sheetViews>
    <sheetView topLeftCell="A62" workbookViewId="0">
      <selection activeCell="A103" sqref="A103"/>
    </sheetView>
  </sheetViews>
  <sheetFormatPr defaultRowHeight="15"/>
  <cols>
    <col min="3" max="3" width="10.5703125" customWidth="1"/>
    <col min="6" max="6" width="15.85546875" customWidth="1"/>
    <col min="7" max="7" width="17" customWidth="1"/>
    <col min="8" max="8" width="15" customWidth="1"/>
  </cols>
  <sheetData>
    <row r="1" spans="1:11" ht="33.75" customHeight="1">
      <c r="A1" s="770" t="s">
        <v>203</v>
      </c>
      <c r="B1" s="770"/>
      <c r="C1" s="770"/>
      <c r="D1" s="770"/>
      <c r="E1" s="770"/>
      <c r="F1" s="770"/>
      <c r="G1" s="770"/>
      <c r="H1" s="770"/>
      <c r="I1" s="770"/>
      <c r="J1" s="337"/>
      <c r="K1" s="337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267" t="s">
        <v>347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300</v>
      </c>
      <c r="E8" s="113"/>
      <c r="F8" s="113"/>
      <c r="G8" s="113"/>
      <c r="H8" s="113"/>
      <c r="I8" s="113"/>
      <c r="J8" s="113"/>
      <c r="K8" s="113"/>
    </row>
    <row r="9" spans="1:11">
      <c r="A9" s="324"/>
      <c r="B9" s="324"/>
      <c r="C9" s="324"/>
      <c r="D9" s="113"/>
      <c r="E9" s="113"/>
      <c r="F9" s="113"/>
      <c r="G9" s="113"/>
      <c r="H9" s="113"/>
      <c r="I9" s="113"/>
      <c r="J9" s="113"/>
      <c r="K9" s="113"/>
    </row>
    <row r="10" spans="1:11">
      <c r="A10" s="67" t="s">
        <v>259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>
      <c r="A11" s="67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36.75">
      <c r="A12" s="126" t="s">
        <v>218</v>
      </c>
      <c r="B12" s="733" t="s">
        <v>0</v>
      </c>
      <c r="C12" s="734"/>
      <c r="D12" s="120" t="s">
        <v>260</v>
      </c>
      <c r="E12" s="120" t="s">
        <v>261</v>
      </c>
      <c r="F12" s="120" t="s">
        <v>303</v>
      </c>
      <c r="G12" s="120" t="s">
        <v>304</v>
      </c>
      <c r="H12" s="120" t="s">
        <v>422</v>
      </c>
      <c r="I12" s="113"/>
      <c r="J12" s="113"/>
      <c r="K12" s="113"/>
    </row>
    <row r="13" spans="1:11">
      <c r="A13" s="122">
        <v>1</v>
      </c>
      <c r="B13" s="725">
        <v>2</v>
      </c>
      <c r="C13" s="726"/>
      <c r="D13" s="122">
        <v>3</v>
      </c>
      <c r="E13" s="122">
        <v>4</v>
      </c>
      <c r="F13" s="122">
        <v>5</v>
      </c>
      <c r="G13" s="122">
        <v>6</v>
      </c>
      <c r="H13" s="122">
        <v>7</v>
      </c>
      <c r="I13" s="113"/>
      <c r="J13" s="113"/>
      <c r="K13" s="113"/>
    </row>
    <row r="14" spans="1:11" ht="27.75" customHeight="1">
      <c r="A14" s="369">
        <v>1</v>
      </c>
      <c r="B14" s="744" t="s">
        <v>551</v>
      </c>
      <c r="C14" s="745"/>
      <c r="D14" s="125">
        <v>1</v>
      </c>
      <c r="E14" s="125">
        <f>F14</f>
        <v>0</v>
      </c>
      <c r="F14" s="125">
        <v>0</v>
      </c>
      <c r="G14" s="125">
        <v>1300000</v>
      </c>
      <c r="H14" s="125">
        <v>598000</v>
      </c>
      <c r="I14" s="113"/>
      <c r="J14" s="113"/>
      <c r="K14" s="113"/>
    </row>
    <row r="15" spans="1:11" hidden="1">
      <c r="A15" s="124"/>
      <c r="B15" s="739"/>
      <c r="C15" s="740"/>
      <c r="D15" s="125"/>
      <c r="E15" s="125"/>
      <c r="F15" s="125"/>
      <c r="G15" s="125"/>
      <c r="H15" s="125"/>
      <c r="I15" s="113"/>
      <c r="J15" s="113"/>
      <c r="K15" s="113"/>
    </row>
    <row r="16" spans="1:11" hidden="1">
      <c r="A16" s="369"/>
      <c r="B16" s="744"/>
      <c r="C16" s="741"/>
      <c r="D16" s="125"/>
      <c r="E16" s="125"/>
      <c r="F16" s="125"/>
      <c r="G16" s="125"/>
      <c r="H16" s="125"/>
      <c r="I16" s="113"/>
      <c r="J16" s="113"/>
      <c r="K16" s="113"/>
    </row>
    <row r="17" spans="1:11" hidden="1">
      <c r="A17" s="124"/>
      <c r="B17" s="739"/>
      <c r="C17" s="740"/>
      <c r="D17" s="125"/>
      <c r="E17" s="125"/>
      <c r="F17" s="125"/>
      <c r="G17" s="125"/>
      <c r="H17" s="125"/>
      <c r="I17" s="113"/>
      <c r="J17" s="113"/>
      <c r="K17" s="113"/>
    </row>
    <row r="18" spans="1:11" hidden="1">
      <c r="A18" s="369"/>
      <c r="B18" s="744"/>
      <c r="C18" s="746"/>
      <c r="D18" s="125"/>
      <c r="E18" s="125"/>
      <c r="F18" s="125"/>
      <c r="G18" s="125"/>
      <c r="H18" s="125"/>
      <c r="I18" s="113"/>
      <c r="J18" s="113"/>
      <c r="K18" s="113"/>
    </row>
    <row r="19" spans="1:11" hidden="1">
      <c r="A19" s="124"/>
      <c r="B19" s="350"/>
      <c r="C19" s="351"/>
      <c r="D19" s="125"/>
      <c r="E19" s="125"/>
      <c r="F19" s="125"/>
      <c r="G19" s="125"/>
      <c r="H19" s="125"/>
      <c r="I19" s="113"/>
      <c r="J19" s="113"/>
      <c r="K19" s="113"/>
    </row>
    <row r="20" spans="1:11" hidden="1">
      <c r="A20" s="124"/>
      <c r="B20" s="350"/>
      <c r="C20" s="351"/>
      <c r="D20" s="125"/>
      <c r="E20" s="125"/>
      <c r="F20" s="125"/>
      <c r="G20" s="125"/>
      <c r="H20" s="125"/>
      <c r="I20" s="113"/>
      <c r="J20" s="113"/>
      <c r="K20" s="113"/>
    </row>
    <row r="21" spans="1:11" hidden="1">
      <c r="A21" s="369"/>
      <c r="B21" s="744"/>
      <c r="C21" s="746"/>
      <c r="D21" s="125"/>
      <c r="E21" s="125"/>
      <c r="F21" s="125"/>
      <c r="G21" s="125"/>
      <c r="H21" s="125"/>
      <c r="I21" s="113"/>
      <c r="J21" s="113"/>
      <c r="K21" s="113"/>
    </row>
    <row r="22" spans="1:11" hidden="1">
      <c r="A22" s="124"/>
      <c r="B22" s="350"/>
      <c r="C22" s="351"/>
      <c r="D22" s="125"/>
      <c r="E22" s="125"/>
      <c r="F22" s="125"/>
      <c r="G22" s="125"/>
      <c r="H22" s="125"/>
      <c r="I22" s="113"/>
      <c r="J22" s="113"/>
      <c r="K22" s="113"/>
    </row>
    <row r="23" spans="1:11" hidden="1">
      <c r="A23" s="369"/>
      <c r="B23" s="744"/>
      <c r="C23" s="746"/>
      <c r="D23" s="125"/>
      <c r="E23" s="125"/>
      <c r="F23" s="125"/>
      <c r="G23" s="125"/>
      <c r="H23" s="125"/>
      <c r="I23" s="113"/>
      <c r="J23" s="113"/>
      <c r="K23" s="113"/>
    </row>
    <row r="24" spans="1:11" hidden="1">
      <c r="A24" s="124"/>
      <c r="B24" s="350"/>
      <c r="C24" s="351"/>
      <c r="D24" s="125"/>
      <c r="E24" s="125"/>
      <c r="F24" s="125"/>
      <c r="G24" s="125"/>
      <c r="H24" s="125"/>
      <c r="I24" s="113"/>
      <c r="J24" s="113"/>
      <c r="K24" s="113"/>
    </row>
    <row r="25" spans="1:11" hidden="1">
      <c r="A25" s="369"/>
      <c r="B25" s="744"/>
      <c r="C25" s="746"/>
      <c r="D25" s="125"/>
      <c r="E25" s="125"/>
      <c r="F25" s="125"/>
      <c r="G25" s="125"/>
      <c r="H25" s="125"/>
      <c r="I25" s="113"/>
      <c r="J25" s="113"/>
      <c r="K25" s="113"/>
    </row>
    <row r="26" spans="1:11" hidden="1">
      <c r="A26" s="124"/>
      <c r="B26" s="350"/>
      <c r="C26" s="351"/>
      <c r="D26" s="125"/>
      <c r="E26" s="125"/>
      <c r="F26" s="125"/>
      <c r="G26" s="125"/>
      <c r="H26" s="125"/>
      <c r="I26" s="113"/>
      <c r="J26" s="113"/>
      <c r="K26" s="113"/>
    </row>
    <row r="27" spans="1:11" hidden="1">
      <c r="A27" s="124"/>
      <c r="B27" s="350"/>
      <c r="C27" s="351"/>
      <c r="D27" s="125"/>
      <c r="E27" s="125"/>
      <c r="F27" s="125"/>
      <c r="G27" s="125"/>
      <c r="H27" s="125"/>
      <c r="I27" s="113"/>
      <c r="J27" s="113"/>
      <c r="K27" s="113"/>
    </row>
    <row r="28" spans="1:11" hidden="1">
      <c r="A28" s="369"/>
      <c r="B28" s="744"/>
      <c r="C28" s="745"/>
      <c r="D28" s="125"/>
      <c r="E28" s="125"/>
      <c r="F28" s="125"/>
      <c r="G28" s="125"/>
      <c r="H28" s="125"/>
      <c r="I28" s="113"/>
      <c r="J28" s="113"/>
      <c r="K28" s="113"/>
    </row>
    <row r="29" spans="1:11" hidden="1">
      <c r="A29" s="124"/>
      <c r="B29" s="739"/>
      <c r="C29" s="740"/>
      <c r="D29" s="125"/>
      <c r="E29" s="125"/>
      <c r="F29" s="125"/>
      <c r="G29" s="125"/>
      <c r="H29" s="125"/>
      <c r="I29" s="113"/>
      <c r="J29" s="113"/>
      <c r="K29" s="113"/>
    </row>
    <row r="30" spans="1:11" hidden="1">
      <c r="A30" s="369"/>
      <c r="B30" s="744"/>
      <c r="C30" s="745"/>
      <c r="D30" s="125"/>
      <c r="E30" s="125"/>
      <c r="F30" s="125"/>
      <c r="G30" s="125"/>
      <c r="H30" s="125"/>
      <c r="I30" s="113"/>
      <c r="J30" s="113"/>
      <c r="K30" s="113"/>
    </row>
    <row r="31" spans="1:11" hidden="1">
      <c r="A31" s="124"/>
      <c r="B31" s="739"/>
      <c r="C31" s="740"/>
      <c r="D31" s="125"/>
      <c r="E31" s="125"/>
      <c r="F31" s="125"/>
      <c r="G31" s="125"/>
      <c r="H31" s="125"/>
      <c r="I31" s="113"/>
      <c r="J31" s="113"/>
      <c r="K31" s="113"/>
    </row>
    <row r="32" spans="1:11" hidden="1">
      <c r="A32" s="369"/>
      <c r="B32" s="744"/>
      <c r="C32" s="745"/>
      <c r="D32" s="125"/>
      <c r="E32" s="125"/>
      <c r="F32" s="125"/>
      <c r="G32" s="125"/>
      <c r="H32" s="125"/>
      <c r="I32" s="113"/>
      <c r="J32" s="113"/>
      <c r="K32" s="113"/>
    </row>
    <row r="33" spans="1:11" hidden="1">
      <c r="A33" s="124"/>
      <c r="B33" s="756"/>
      <c r="C33" s="757"/>
      <c r="D33" s="125"/>
      <c r="E33" s="125"/>
      <c r="F33" s="125"/>
      <c r="G33" s="125"/>
      <c r="H33" s="125"/>
      <c r="I33" s="113"/>
      <c r="J33" s="113"/>
      <c r="K33" s="113"/>
    </row>
    <row r="34" spans="1:11">
      <c r="A34" s="166"/>
      <c r="B34" s="727" t="s">
        <v>216</v>
      </c>
      <c r="C34" s="728"/>
      <c r="D34" s="167"/>
      <c r="E34" s="167"/>
      <c r="F34" s="167">
        <f>SUM(F14:F33)</f>
        <v>0</v>
      </c>
      <c r="G34" s="167">
        <f>SUM(G14:G33)</f>
        <v>1300000</v>
      </c>
      <c r="H34" s="167">
        <f>SUM(H14:H33)</f>
        <v>598000</v>
      </c>
      <c r="I34" s="171"/>
      <c r="J34" s="171"/>
      <c r="K34" s="171"/>
    </row>
    <row r="35" spans="1:11" ht="18" customHeight="1">
      <c r="A35" s="18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idden="1">
      <c r="A36" s="782" t="s">
        <v>549</v>
      </c>
      <c r="B36" s="783"/>
      <c r="C36" s="783"/>
      <c r="D36" s="783"/>
      <c r="E36" s="783"/>
      <c r="F36" s="783"/>
      <c r="G36" s="783"/>
      <c r="H36" s="783"/>
      <c r="I36" s="783"/>
      <c r="J36" s="783"/>
      <c r="K36" s="783"/>
    </row>
    <row r="37" spans="1:11" hidden="1">
      <c r="A37" s="18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36.75" hidden="1">
      <c r="A38" s="126" t="s">
        <v>218</v>
      </c>
      <c r="B38" s="733" t="s">
        <v>237</v>
      </c>
      <c r="C38" s="734"/>
      <c r="D38" s="120" t="s">
        <v>260</v>
      </c>
      <c r="E38" s="120" t="s">
        <v>261</v>
      </c>
      <c r="F38" s="120" t="s">
        <v>484</v>
      </c>
      <c r="G38" s="120" t="s">
        <v>303</v>
      </c>
      <c r="H38" s="120" t="s">
        <v>304</v>
      </c>
      <c r="I38" s="113"/>
      <c r="J38" s="113"/>
      <c r="K38" s="113"/>
    </row>
    <row r="39" spans="1:11" hidden="1">
      <c r="A39" s="122">
        <v>1</v>
      </c>
      <c r="B39" s="725">
        <v>2</v>
      </c>
      <c r="C39" s="726"/>
      <c r="D39" s="122">
        <v>3</v>
      </c>
      <c r="E39" s="122">
        <v>4</v>
      </c>
      <c r="F39" s="122">
        <v>5</v>
      </c>
      <c r="G39" s="122">
        <v>6</v>
      </c>
      <c r="H39" s="122">
        <v>7</v>
      </c>
      <c r="I39" s="113"/>
      <c r="J39" s="113"/>
      <c r="K39" s="113"/>
    </row>
    <row r="40" spans="1:11" hidden="1">
      <c r="A40" s="370"/>
      <c r="B40" s="735" t="s">
        <v>550</v>
      </c>
      <c r="C40" s="736"/>
      <c r="D40" s="125">
        <v>1</v>
      </c>
      <c r="E40" s="125"/>
      <c r="F40" s="125"/>
      <c r="G40" s="125"/>
      <c r="H40" s="125"/>
      <c r="I40" s="113"/>
      <c r="J40" s="113"/>
      <c r="K40" s="113"/>
    </row>
    <row r="41" spans="1:11" hidden="1">
      <c r="A41" s="370"/>
      <c r="B41" s="735"/>
      <c r="C41" s="736"/>
      <c r="D41" s="125"/>
      <c r="E41" s="125"/>
      <c r="F41" s="125"/>
      <c r="G41" s="125"/>
      <c r="H41" s="125"/>
      <c r="I41" s="113"/>
      <c r="J41" s="113"/>
      <c r="K41" s="113"/>
    </row>
    <row r="42" spans="1:11" hidden="1">
      <c r="A42" s="371"/>
      <c r="B42" s="739"/>
      <c r="C42" s="740"/>
      <c r="D42" s="125"/>
      <c r="E42" s="125"/>
      <c r="F42" s="125"/>
      <c r="G42" s="125"/>
      <c r="H42" s="125"/>
      <c r="I42" s="113"/>
      <c r="J42" s="113"/>
      <c r="K42" s="113"/>
    </row>
    <row r="43" spans="1:11" hidden="1">
      <c r="A43" s="370"/>
      <c r="B43" s="735"/>
      <c r="C43" s="741"/>
      <c r="D43" s="125"/>
      <c r="E43" s="125"/>
      <c r="F43" s="125"/>
      <c r="G43" s="125"/>
      <c r="H43" s="125"/>
      <c r="I43" s="113"/>
      <c r="J43" s="113"/>
      <c r="K43" s="113"/>
    </row>
    <row r="44" spans="1:11" hidden="1">
      <c r="A44" s="371"/>
      <c r="B44" s="350"/>
      <c r="C44" s="351"/>
      <c r="D44" s="125"/>
      <c r="E44" s="125"/>
      <c r="F44" s="125"/>
      <c r="G44" s="125"/>
      <c r="H44" s="125"/>
      <c r="I44" s="113"/>
      <c r="J44" s="113"/>
      <c r="K44" s="113"/>
    </row>
    <row r="45" spans="1:11" hidden="1">
      <c r="A45" s="371"/>
      <c r="B45" s="350"/>
      <c r="C45" s="351"/>
      <c r="D45" s="125"/>
      <c r="E45" s="125"/>
      <c r="F45" s="125"/>
      <c r="G45" s="125"/>
      <c r="H45" s="125"/>
      <c r="I45" s="113"/>
      <c r="J45" s="113"/>
      <c r="K45" s="113"/>
    </row>
    <row r="46" spans="1:11" hidden="1">
      <c r="A46" s="371"/>
      <c r="B46" s="350"/>
      <c r="C46" s="351"/>
      <c r="D46" s="125"/>
      <c r="E46" s="125"/>
      <c r="F46" s="125"/>
      <c r="G46" s="125"/>
      <c r="H46" s="125"/>
      <c r="I46" s="113"/>
      <c r="J46" s="113"/>
      <c r="K46" s="113"/>
    </row>
    <row r="47" spans="1:11" hidden="1">
      <c r="A47" s="371"/>
      <c r="B47" s="350"/>
      <c r="C47" s="351"/>
      <c r="D47" s="125"/>
      <c r="E47" s="125"/>
      <c r="F47" s="125"/>
      <c r="G47" s="125"/>
      <c r="H47" s="125"/>
      <c r="I47" s="113"/>
      <c r="J47" s="113"/>
      <c r="K47" s="113"/>
    </row>
    <row r="48" spans="1:11" hidden="1">
      <c r="A48" s="370"/>
      <c r="B48" s="744"/>
      <c r="C48" s="746"/>
      <c r="D48" s="125"/>
      <c r="E48" s="125"/>
      <c r="F48" s="125"/>
      <c r="G48" s="125"/>
      <c r="H48" s="125"/>
      <c r="I48" s="113"/>
      <c r="J48" s="113"/>
      <c r="K48" s="113"/>
    </row>
    <row r="49" spans="1:11" hidden="1">
      <c r="A49" s="370"/>
      <c r="B49" s="372"/>
      <c r="C49" s="351"/>
      <c r="D49" s="125"/>
      <c r="E49" s="125"/>
      <c r="F49" s="125"/>
      <c r="G49" s="125"/>
      <c r="H49" s="125"/>
      <c r="I49" s="113"/>
      <c r="J49" s="113"/>
      <c r="K49" s="113"/>
    </row>
    <row r="50" spans="1:11" hidden="1">
      <c r="A50" s="371"/>
      <c r="B50" s="350"/>
      <c r="C50" s="351"/>
      <c r="D50" s="125"/>
      <c r="E50" s="125"/>
      <c r="F50" s="125"/>
      <c r="G50" s="125"/>
      <c r="H50" s="125"/>
      <c r="I50" s="113"/>
      <c r="J50" s="113"/>
      <c r="K50" s="113"/>
    </row>
    <row r="51" spans="1:11" hidden="1">
      <c r="A51" s="370"/>
      <c r="B51" s="372"/>
      <c r="C51" s="351"/>
      <c r="D51" s="125"/>
      <c r="E51" s="125"/>
      <c r="F51" s="125"/>
      <c r="G51" s="125"/>
      <c r="H51" s="125"/>
      <c r="I51" s="113"/>
      <c r="J51" s="113"/>
      <c r="K51" s="113"/>
    </row>
    <row r="52" spans="1:11" hidden="1">
      <c r="A52" s="370"/>
      <c r="B52" s="372"/>
      <c r="C52" s="351"/>
      <c r="D52" s="125"/>
      <c r="E52" s="125"/>
      <c r="F52" s="125"/>
      <c r="G52" s="125"/>
      <c r="H52" s="125"/>
      <c r="I52" s="113"/>
      <c r="J52" s="113"/>
      <c r="K52" s="113"/>
    </row>
    <row r="53" spans="1:11" hidden="1">
      <c r="A53" s="371"/>
      <c r="B53" s="350"/>
      <c r="C53" s="351"/>
      <c r="D53" s="125"/>
      <c r="E53" s="125"/>
      <c r="F53" s="125"/>
      <c r="G53" s="125"/>
      <c r="H53" s="125"/>
      <c r="I53" s="113"/>
      <c r="J53" s="113"/>
      <c r="K53" s="113"/>
    </row>
    <row r="54" spans="1:11" hidden="1">
      <c r="A54" s="124"/>
      <c r="B54" s="334"/>
      <c r="C54" s="332"/>
      <c r="D54" s="125"/>
      <c r="E54" s="125"/>
      <c r="F54" s="125">
        <f t="shared" ref="F54:F59" si="0">E54*D54</f>
        <v>0</v>
      </c>
      <c r="G54" s="125">
        <f t="shared" ref="G54:H59" si="1">F54</f>
        <v>0</v>
      </c>
      <c r="H54" s="125">
        <f t="shared" si="1"/>
        <v>0</v>
      </c>
      <c r="I54" s="113"/>
      <c r="J54" s="113"/>
      <c r="K54" s="113"/>
    </row>
    <row r="55" spans="1:11" hidden="1">
      <c r="A55" s="124"/>
      <c r="B55" s="331"/>
      <c r="C55" s="332"/>
      <c r="D55" s="125"/>
      <c r="E55" s="125"/>
      <c r="F55" s="125">
        <f t="shared" si="0"/>
        <v>0</v>
      </c>
      <c r="G55" s="125">
        <f t="shared" si="1"/>
        <v>0</v>
      </c>
      <c r="H55" s="125">
        <f t="shared" si="1"/>
        <v>0</v>
      </c>
      <c r="I55" s="113"/>
      <c r="J55" s="113"/>
      <c r="K55" s="113"/>
    </row>
    <row r="56" spans="1:11" hidden="1">
      <c r="A56" s="124"/>
      <c r="B56" s="331"/>
      <c r="C56" s="332"/>
      <c r="D56" s="125"/>
      <c r="E56" s="125"/>
      <c r="F56" s="125">
        <f t="shared" si="0"/>
        <v>0</v>
      </c>
      <c r="G56" s="125">
        <f t="shared" si="1"/>
        <v>0</v>
      </c>
      <c r="H56" s="125">
        <f t="shared" si="1"/>
        <v>0</v>
      </c>
      <c r="I56" s="113"/>
      <c r="J56" s="113"/>
      <c r="K56" s="113"/>
    </row>
    <row r="57" spans="1:11" hidden="1">
      <c r="A57" s="124"/>
      <c r="B57" s="725"/>
      <c r="C57" s="726"/>
      <c r="D57" s="125"/>
      <c r="E57" s="125"/>
      <c r="F57" s="125">
        <f t="shared" si="0"/>
        <v>0</v>
      </c>
      <c r="G57" s="125">
        <f t="shared" si="1"/>
        <v>0</v>
      </c>
      <c r="H57" s="125">
        <f t="shared" si="1"/>
        <v>0</v>
      </c>
      <c r="I57" s="113"/>
      <c r="J57" s="113"/>
      <c r="K57" s="113"/>
    </row>
    <row r="58" spans="1:11" hidden="1">
      <c r="A58" s="124"/>
      <c r="B58" s="725"/>
      <c r="C58" s="726"/>
      <c r="D58" s="125"/>
      <c r="E58" s="125"/>
      <c r="F58" s="125">
        <f t="shared" si="0"/>
        <v>0</v>
      </c>
      <c r="G58" s="125">
        <f t="shared" si="1"/>
        <v>0</v>
      </c>
      <c r="H58" s="125">
        <f t="shared" si="1"/>
        <v>0</v>
      </c>
      <c r="I58" s="113"/>
      <c r="J58" s="113"/>
      <c r="K58" s="113"/>
    </row>
    <row r="59" spans="1:11" hidden="1">
      <c r="A59" s="124"/>
      <c r="B59" s="725"/>
      <c r="C59" s="726"/>
      <c r="D59" s="125"/>
      <c r="E59" s="125"/>
      <c r="F59" s="125">
        <f t="shared" si="0"/>
        <v>0</v>
      </c>
      <c r="G59" s="125">
        <f t="shared" si="1"/>
        <v>0</v>
      </c>
      <c r="H59" s="125">
        <f t="shared" si="1"/>
        <v>0</v>
      </c>
      <c r="I59" s="113"/>
      <c r="J59" s="113"/>
      <c r="K59" s="113"/>
    </row>
    <row r="60" spans="1:11" hidden="1">
      <c r="A60" s="166"/>
      <c r="B60" s="727" t="s">
        <v>216</v>
      </c>
      <c r="C60" s="728"/>
      <c r="D60" s="167"/>
      <c r="E60" s="167"/>
      <c r="F60" s="167">
        <f>SUM(F40:F59)</f>
        <v>0</v>
      </c>
      <c r="G60" s="167">
        <f>SUM(G40:G59)</f>
        <v>0</v>
      </c>
      <c r="H60" s="167">
        <f>SUM(H40:H59)</f>
        <v>0</v>
      </c>
      <c r="I60" s="171"/>
      <c r="J60" s="171"/>
      <c r="K60" s="171"/>
    </row>
    <row r="61" spans="1:11" hidden="1">
      <c r="A61" s="18"/>
      <c r="B61" s="113"/>
      <c r="C61" s="113"/>
      <c r="D61" s="113"/>
      <c r="E61" s="373"/>
      <c r="F61" s="374"/>
      <c r="G61" s="374"/>
      <c r="H61" s="375"/>
      <c r="I61" s="113"/>
      <c r="J61" s="113"/>
      <c r="K61" s="113"/>
    </row>
    <row r="62" spans="1:11">
      <c r="A62" s="67" t="s">
        <v>263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</row>
    <row r="63" spans="1:11">
      <c r="A63" s="18"/>
      <c r="B63" s="113"/>
      <c r="C63" s="113"/>
      <c r="D63" s="113"/>
      <c r="E63" s="113"/>
      <c r="F63" s="113"/>
      <c r="G63" s="356"/>
      <c r="H63" s="113"/>
      <c r="I63" s="113"/>
      <c r="J63" s="113"/>
      <c r="K63" s="113"/>
    </row>
    <row r="64" spans="1:11" ht="36.75">
      <c r="A64" s="126" t="s">
        <v>218</v>
      </c>
      <c r="B64" s="733" t="s">
        <v>237</v>
      </c>
      <c r="C64" s="734"/>
      <c r="D64" s="120" t="s">
        <v>256</v>
      </c>
      <c r="E64" s="120" t="s">
        <v>261</v>
      </c>
      <c r="F64" s="120" t="s">
        <v>303</v>
      </c>
      <c r="G64" s="120" t="s">
        <v>304</v>
      </c>
      <c r="H64" s="120" t="s">
        <v>422</v>
      </c>
      <c r="I64" s="113"/>
      <c r="J64" s="113"/>
      <c r="K64" s="113"/>
    </row>
    <row r="65" spans="1:11">
      <c r="A65" s="122">
        <v>1</v>
      </c>
      <c r="B65" s="725">
        <v>2</v>
      </c>
      <c r="C65" s="726"/>
      <c r="D65" s="122">
        <v>3</v>
      </c>
      <c r="E65" s="122">
        <v>4</v>
      </c>
      <c r="F65" s="122">
        <v>5</v>
      </c>
      <c r="G65" s="122">
        <v>6</v>
      </c>
      <c r="H65" s="122">
        <v>7</v>
      </c>
      <c r="I65" s="113"/>
      <c r="J65" s="113"/>
      <c r="K65" s="113"/>
    </row>
    <row r="66" spans="1:11">
      <c r="A66" s="376">
        <v>1</v>
      </c>
      <c r="B66" s="735" t="s">
        <v>552</v>
      </c>
      <c r="C66" s="736"/>
      <c r="D66" s="125">
        <v>2</v>
      </c>
      <c r="E66" s="125">
        <v>30000</v>
      </c>
      <c r="F66" s="125">
        <f>D66*E66</f>
        <v>60000</v>
      </c>
      <c r="G66" s="125"/>
      <c r="H66" s="125"/>
      <c r="I66" s="113"/>
      <c r="J66" s="113"/>
      <c r="K66" s="113"/>
    </row>
    <row r="67" spans="1:11" hidden="1">
      <c r="A67" s="376"/>
      <c r="B67" s="737"/>
      <c r="C67" s="738"/>
      <c r="D67" s="125"/>
      <c r="E67" s="125"/>
      <c r="F67" s="125"/>
      <c r="G67" s="125"/>
      <c r="H67" s="125"/>
      <c r="I67" s="113"/>
      <c r="J67" s="113"/>
      <c r="K67" s="113"/>
    </row>
    <row r="68" spans="1:11" hidden="1">
      <c r="A68" s="376"/>
      <c r="B68" s="354"/>
      <c r="C68" s="355"/>
      <c r="D68" s="125"/>
      <c r="E68" s="125"/>
      <c r="F68" s="125"/>
      <c r="G68" s="125"/>
      <c r="H68" s="125"/>
      <c r="I68" s="113"/>
      <c r="J68" s="113"/>
      <c r="K68" s="113"/>
    </row>
    <row r="69" spans="1:11" hidden="1">
      <c r="A69" s="377"/>
      <c r="B69" s="331"/>
      <c r="C69" s="332"/>
      <c r="D69" s="125"/>
      <c r="E69" s="125"/>
      <c r="F69" s="125"/>
      <c r="G69" s="125"/>
      <c r="H69" s="125"/>
      <c r="I69" s="113"/>
      <c r="J69" s="113"/>
      <c r="K69" s="113"/>
    </row>
    <row r="70" spans="1:11" hidden="1">
      <c r="A70" s="377"/>
      <c r="B70" s="331"/>
      <c r="C70" s="332"/>
      <c r="D70" s="125"/>
      <c r="E70" s="125"/>
      <c r="F70" s="125"/>
      <c r="G70" s="125"/>
      <c r="H70" s="125"/>
      <c r="I70" s="113"/>
      <c r="J70" s="113"/>
      <c r="K70" s="113"/>
    </row>
    <row r="71" spans="1:11" hidden="1">
      <c r="A71" s="130"/>
      <c r="B71" s="331"/>
      <c r="C71" s="332"/>
      <c r="D71" s="125"/>
      <c r="E71" s="125"/>
      <c r="F71" s="125"/>
      <c r="G71" s="125"/>
      <c r="H71" s="125"/>
      <c r="I71" s="113"/>
      <c r="J71" s="113"/>
      <c r="K71" s="113"/>
    </row>
    <row r="72" spans="1:11" hidden="1">
      <c r="A72" s="130"/>
      <c r="B72" s="331"/>
      <c r="C72" s="332"/>
      <c r="D72" s="125"/>
      <c r="E72" s="125"/>
      <c r="F72" s="125"/>
      <c r="G72" s="125"/>
      <c r="H72" s="125"/>
      <c r="I72" s="113"/>
      <c r="J72" s="113"/>
      <c r="K72" s="113"/>
    </row>
    <row r="73" spans="1:11" hidden="1">
      <c r="A73" s="130"/>
      <c r="B73" s="331"/>
      <c r="C73" s="332"/>
      <c r="D73" s="125"/>
      <c r="E73" s="125"/>
      <c r="F73" s="125"/>
      <c r="G73" s="125"/>
      <c r="H73" s="125"/>
      <c r="I73" s="113"/>
      <c r="J73" s="113"/>
      <c r="K73" s="113"/>
    </row>
    <row r="74" spans="1:11" hidden="1">
      <c r="A74" s="130"/>
      <c r="B74" s="331"/>
      <c r="C74" s="332"/>
      <c r="D74" s="125"/>
      <c r="E74" s="125"/>
      <c r="F74" s="125"/>
      <c r="G74" s="125"/>
      <c r="H74" s="125"/>
      <c r="I74" s="113"/>
      <c r="J74" s="113"/>
      <c r="K74" s="113"/>
    </row>
    <row r="75" spans="1:11" hidden="1">
      <c r="A75" s="130"/>
      <c r="B75" s="331"/>
      <c r="C75" s="332"/>
      <c r="D75" s="125"/>
      <c r="E75" s="125"/>
      <c r="F75" s="125"/>
      <c r="G75" s="125"/>
      <c r="H75" s="125"/>
      <c r="I75" s="113"/>
      <c r="J75" s="113"/>
      <c r="K75" s="113"/>
    </row>
    <row r="76" spans="1:11" hidden="1">
      <c r="A76" s="130"/>
      <c r="B76" s="331"/>
      <c r="C76" s="332"/>
      <c r="D76" s="125"/>
      <c r="E76" s="125"/>
      <c r="F76" s="125"/>
      <c r="G76" s="125"/>
      <c r="H76" s="125"/>
      <c r="I76" s="113"/>
      <c r="J76" s="113"/>
      <c r="K76" s="113"/>
    </row>
    <row r="77" spans="1:11" hidden="1">
      <c r="A77" s="130"/>
      <c r="B77" s="331"/>
      <c r="C77" s="332"/>
      <c r="D77" s="125"/>
      <c r="E77" s="125"/>
      <c r="F77" s="125"/>
      <c r="G77" s="125"/>
      <c r="H77" s="125"/>
      <c r="I77" s="113"/>
      <c r="J77" s="113"/>
      <c r="K77" s="113"/>
    </row>
    <row r="78" spans="1:11" hidden="1">
      <c r="A78" s="130"/>
      <c r="B78" s="331"/>
      <c r="C78" s="332"/>
      <c r="D78" s="125"/>
      <c r="E78" s="125"/>
      <c r="F78" s="125"/>
      <c r="G78" s="125"/>
      <c r="H78" s="125"/>
      <c r="I78" s="113"/>
      <c r="J78" s="113"/>
      <c r="K78" s="113"/>
    </row>
    <row r="79" spans="1:11" hidden="1">
      <c r="A79" s="130"/>
      <c r="B79" s="331"/>
      <c r="C79" s="332"/>
      <c r="D79" s="125"/>
      <c r="E79" s="125"/>
      <c r="F79" s="125"/>
      <c r="G79" s="125"/>
      <c r="H79" s="125"/>
      <c r="I79" s="113"/>
      <c r="J79" s="113"/>
      <c r="K79" s="113"/>
    </row>
    <row r="80" spans="1:11" hidden="1">
      <c r="A80" s="130"/>
      <c r="B80" s="331"/>
      <c r="C80" s="332"/>
      <c r="D80" s="125"/>
      <c r="E80" s="125"/>
      <c r="F80" s="125"/>
      <c r="G80" s="125"/>
      <c r="H80" s="125"/>
      <c r="I80" s="113"/>
      <c r="J80" s="113"/>
      <c r="K80" s="113"/>
    </row>
    <row r="81" spans="1:11" hidden="1">
      <c r="A81" s="130"/>
      <c r="B81" s="331"/>
      <c r="C81" s="332"/>
      <c r="D81" s="125"/>
      <c r="E81" s="125"/>
      <c r="F81" s="125"/>
      <c r="G81" s="125"/>
      <c r="H81" s="125"/>
      <c r="I81" s="113"/>
      <c r="J81" s="113"/>
      <c r="K81" s="113"/>
    </row>
    <row r="82" spans="1:11" hidden="1">
      <c r="A82" s="130"/>
      <c r="B82" s="331"/>
      <c r="C82" s="332"/>
      <c r="D82" s="125"/>
      <c r="E82" s="125"/>
      <c r="F82" s="125"/>
      <c r="G82" s="125"/>
      <c r="H82" s="125"/>
      <c r="I82" s="113"/>
      <c r="J82" s="113"/>
      <c r="K82" s="113"/>
    </row>
    <row r="83" spans="1:11" hidden="1">
      <c r="A83" s="130"/>
      <c r="B83" s="331"/>
      <c r="C83" s="332"/>
      <c r="D83" s="125"/>
      <c r="E83" s="125"/>
      <c r="F83" s="125"/>
      <c r="G83" s="125"/>
      <c r="H83" s="125"/>
      <c r="I83" s="113"/>
      <c r="J83" s="113"/>
      <c r="K83" s="113"/>
    </row>
    <row r="84" spans="1:11" hidden="1">
      <c r="A84" s="124"/>
      <c r="B84" s="725"/>
      <c r="C84" s="726"/>
      <c r="D84" s="125"/>
      <c r="E84" s="125"/>
      <c r="F84" s="125"/>
      <c r="G84" s="125"/>
      <c r="H84" s="125"/>
      <c r="I84" s="113"/>
      <c r="J84" s="113"/>
      <c r="K84" s="113"/>
    </row>
    <row r="85" spans="1:11" hidden="1">
      <c r="A85" s="124"/>
      <c r="B85" s="725"/>
      <c r="C85" s="726"/>
      <c r="D85" s="125"/>
      <c r="E85" s="125"/>
      <c r="F85" s="125"/>
      <c r="G85" s="125"/>
      <c r="H85" s="125"/>
      <c r="I85" s="113"/>
      <c r="J85" s="113"/>
      <c r="K85" s="113"/>
    </row>
    <row r="86" spans="1:11" hidden="1">
      <c r="A86" s="124"/>
      <c r="B86" s="725"/>
      <c r="C86" s="726"/>
      <c r="D86" s="125"/>
      <c r="E86" s="125"/>
      <c r="F86" s="125"/>
      <c r="G86" s="125"/>
      <c r="H86" s="125"/>
      <c r="I86" s="113"/>
      <c r="J86" s="113"/>
      <c r="K86" s="113"/>
    </row>
    <row r="87" spans="1:11" hidden="1">
      <c r="A87" s="124"/>
      <c r="B87" s="725"/>
      <c r="C87" s="726"/>
      <c r="D87" s="125"/>
      <c r="E87" s="125"/>
      <c r="F87" s="125"/>
      <c r="G87" s="125"/>
      <c r="H87" s="125"/>
      <c r="I87" s="113"/>
      <c r="J87" s="113"/>
      <c r="K87" s="113"/>
    </row>
    <row r="88" spans="1:11" hidden="1">
      <c r="A88" s="166"/>
      <c r="B88" s="727"/>
      <c r="C88" s="728"/>
      <c r="D88" s="167"/>
      <c r="E88" s="167"/>
      <c r="F88" s="167"/>
      <c r="G88" s="167"/>
      <c r="H88" s="167"/>
      <c r="I88" s="171"/>
      <c r="J88" s="171"/>
      <c r="K88" s="171"/>
    </row>
    <row r="89" spans="1:11" ht="15.75" thickBot="1">
      <c r="A89" s="18"/>
      <c r="B89" s="113"/>
      <c r="C89" s="113"/>
      <c r="D89" s="113"/>
      <c r="E89" s="113"/>
      <c r="F89" s="113"/>
      <c r="G89" s="113"/>
      <c r="H89" s="113"/>
      <c r="I89" s="113"/>
      <c r="J89" s="113"/>
      <c r="K89" s="113"/>
    </row>
    <row r="90" spans="1:11" ht="15.75" thickBot="1">
      <c r="A90" s="131"/>
      <c r="B90" s="729" t="s">
        <v>264</v>
      </c>
      <c r="C90" s="730"/>
      <c r="D90" s="730"/>
      <c r="E90" s="731"/>
      <c r="F90" s="175">
        <f>F66+F34</f>
        <v>60000</v>
      </c>
      <c r="G90" s="175">
        <f t="shared" ref="G90:H90" si="2">G66+G34</f>
        <v>1300000</v>
      </c>
      <c r="H90" s="175">
        <f t="shared" si="2"/>
        <v>598000</v>
      </c>
      <c r="I90" s="113"/>
      <c r="J90" s="113"/>
      <c r="K90" s="113"/>
    </row>
    <row r="91" spans="1:11">
      <c r="A91" s="18"/>
      <c r="B91" s="113"/>
      <c r="C91" s="113"/>
      <c r="D91" s="113"/>
      <c r="E91" s="113"/>
      <c r="F91" s="113"/>
      <c r="G91" s="356"/>
      <c r="H91" s="113"/>
      <c r="I91" s="113"/>
      <c r="J91" s="113"/>
      <c r="K91" s="113"/>
    </row>
    <row r="92" spans="1:11">
      <c r="A92" s="18"/>
      <c r="B92" s="113"/>
      <c r="C92" s="113"/>
      <c r="D92" s="113"/>
      <c r="E92" s="113"/>
      <c r="F92" s="113"/>
      <c r="G92" s="113"/>
      <c r="H92" s="113"/>
      <c r="I92" s="113"/>
      <c r="J92" s="113"/>
      <c r="K92" s="113"/>
    </row>
    <row r="93" spans="1:11">
      <c r="A93" s="732" t="s">
        <v>179</v>
      </c>
      <c r="B93" s="732"/>
      <c r="C93" s="732"/>
      <c r="D93" s="378" t="s">
        <v>492</v>
      </c>
      <c r="E93" s="379"/>
      <c r="F93" s="378"/>
      <c r="G93" s="379"/>
      <c r="H93" s="378" t="s">
        <v>475</v>
      </c>
      <c r="I93" s="326"/>
      <c r="J93" s="132"/>
      <c r="K93" s="132"/>
    </row>
    <row r="94" spans="1:11">
      <c r="A94" s="732" t="s">
        <v>180</v>
      </c>
      <c r="B94" s="732"/>
      <c r="C94" s="732"/>
      <c r="D94" s="134" t="s">
        <v>265</v>
      </c>
      <c r="E94" s="135"/>
      <c r="F94" s="134" t="s">
        <v>266</v>
      </c>
      <c r="G94" s="135"/>
      <c r="H94" s="330" t="s">
        <v>267</v>
      </c>
      <c r="I94" s="330"/>
      <c r="J94" s="135"/>
      <c r="K94" s="135"/>
    </row>
    <row r="95" spans="1:11">
      <c r="A95" s="329"/>
      <c r="B95" s="333"/>
      <c r="C95" s="333"/>
      <c r="D95" s="333"/>
      <c r="E95" s="333"/>
      <c r="F95" s="333"/>
      <c r="G95" s="333"/>
      <c r="H95" s="333"/>
      <c r="I95" s="333"/>
      <c r="J95" s="333"/>
      <c r="K95" s="333"/>
    </row>
    <row r="96" spans="1:11">
      <c r="A96" s="723" t="s">
        <v>182</v>
      </c>
      <c r="B96" s="723"/>
      <c r="C96" s="359" t="s">
        <v>476</v>
      </c>
      <c r="D96" s="360"/>
      <c r="E96" s="359" t="s">
        <v>477</v>
      </c>
      <c r="F96" s="132"/>
      <c r="G96" s="326"/>
      <c r="H96" s="326"/>
      <c r="I96" s="333"/>
      <c r="J96" s="333"/>
      <c r="K96" s="333"/>
    </row>
    <row r="97" spans="1:11">
      <c r="A97" s="333"/>
      <c r="B97" s="333"/>
      <c r="C97" s="134" t="s">
        <v>268</v>
      </c>
      <c r="D97" s="135"/>
      <c r="E97" s="330" t="s">
        <v>183</v>
      </c>
      <c r="F97" s="135"/>
      <c r="G97" s="724" t="s">
        <v>184</v>
      </c>
      <c r="H97" s="724"/>
      <c r="I97" s="333"/>
      <c r="J97" s="333"/>
      <c r="K97" s="333"/>
    </row>
    <row r="98" spans="1:11">
      <c r="A98" s="333"/>
      <c r="B98" s="333"/>
      <c r="C98" s="333"/>
      <c r="D98" s="333"/>
      <c r="E98" s="333"/>
      <c r="F98" s="333"/>
      <c r="G98" s="333"/>
      <c r="H98" s="333"/>
      <c r="I98" s="333"/>
      <c r="J98" s="333"/>
      <c r="K98" s="333"/>
    </row>
    <row r="99" spans="1:11">
      <c r="A99" s="333"/>
      <c r="B99" s="333"/>
      <c r="C99" s="333"/>
      <c r="D99" s="333"/>
      <c r="E99" s="333"/>
      <c r="F99" s="333"/>
      <c r="G99" s="333"/>
      <c r="H99" s="333"/>
      <c r="I99" s="333"/>
      <c r="J99" s="333"/>
      <c r="K99" s="333"/>
    </row>
    <row r="100" spans="1:11">
      <c r="A100" s="333"/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</row>
    <row r="101" spans="1:1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</row>
    <row r="102" spans="1:11">
      <c r="A102" s="723" t="s">
        <v>489</v>
      </c>
      <c r="B102" s="723"/>
      <c r="C102" s="723"/>
      <c r="D102" s="723"/>
      <c r="E102" s="723"/>
      <c r="F102" s="333"/>
      <c r="G102" s="333"/>
      <c r="H102" s="333"/>
      <c r="I102" s="333"/>
      <c r="J102" s="333"/>
      <c r="K102" s="333"/>
    </row>
  </sheetData>
  <mergeCells count="48">
    <mergeCell ref="B12:C12"/>
    <mergeCell ref="B13:C13"/>
    <mergeCell ref="A4:K4"/>
    <mergeCell ref="A6:B6"/>
    <mergeCell ref="A8:C8"/>
    <mergeCell ref="B31:C31"/>
    <mergeCell ref="B14:C14"/>
    <mergeCell ref="B15:C15"/>
    <mergeCell ref="B16:C16"/>
    <mergeCell ref="B17:C17"/>
    <mergeCell ref="B18:C18"/>
    <mergeCell ref="B21:C21"/>
    <mergeCell ref="B23:C23"/>
    <mergeCell ref="B25:C25"/>
    <mergeCell ref="B28:C28"/>
    <mergeCell ref="B29:C29"/>
    <mergeCell ref="B30:C30"/>
    <mergeCell ref="B57:C57"/>
    <mergeCell ref="B32:C32"/>
    <mergeCell ref="B33:C33"/>
    <mergeCell ref="B34:C34"/>
    <mergeCell ref="A36:K36"/>
    <mergeCell ref="B38:C38"/>
    <mergeCell ref="B39:C39"/>
    <mergeCell ref="G97:H97"/>
    <mergeCell ref="A102:E102"/>
    <mergeCell ref="B67:C67"/>
    <mergeCell ref="B84:C84"/>
    <mergeCell ref="B85:C85"/>
    <mergeCell ref="B86:C86"/>
    <mergeCell ref="B87:C87"/>
    <mergeCell ref="B88:C88"/>
    <mergeCell ref="A1:I1"/>
    <mergeCell ref="B90:E90"/>
    <mergeCell ref="A93:C93"/>
    <mergeCell ref="A94:C94"/>
    <mergeCell ref="A96:B96"/>
    <mergeCell ref="B58:C58"/>
    <mergeCell ref="B59:C59"/>
    <mergeCell ref="B60:C60"/>
    <mergeCell ref="B64:C64"/>
    <mergeCell ref="B65:C65"/>
    <mergeCell ref="B66:C66"/>
    <mergeCell ref="B40:C40"/>
    <mergeCell ref="B41:C41"/>
    <mergeCell ref="B42:C42"/>
    <mergeCell ref="B43:C43"/>
    <mergeCell ref="B48:C48"/>
  </mergeCells>
  <pageMargins left="0.25" right="0.25" top="0.75" bottom="0.75" header="0.3" footer="0.3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3"/>
  <sheetViews>
    <sheetView topLeftCell="A148" workbookViewId="0">
      <selection activeCell="E159" sqref="E159"/>
    </sheetView>
  </sheetViews>
  <sheetFormatPr defaultRowHeight="15"/>
  <cols>
    <col min="1" max="1" width="7.7109375" customWidth="1"/>
    <col min="2" max="2" width="13.28515625" customWidth="1"/>
    <col min="4" max="4" width="7.85546875" customWidth="1"/>
    <col min="5" max="5" width="11" customWidth="1"/>
    <col min="6" max="6" width="12.5703125" customWidth="1"/>
    <col min="7" max="7" width="11.42578125" customWidth="1"/>
    <col min="8" max="8" width="12.140625" customWidth="1"/>
    <col min="9" max="9" width="13" customWidth="1"/>
    <col min="10" max="10" width="12.42578125" customWidth="1"/>
    <col min="11" max="11" width="12.5703125" customWidth="1"/>
  </cols>
  <sheetData>
    <row r="1" spans="1:11" ht="32.25" customHeight="1">
      <c r="A1" s="770" t="s">
        <v>203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idden="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 ht="15.75" thickBot="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288" t="s">
        <v>191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553</v>
      </c>
      <c r="E8" s="113"/>
      <c r="F8" s="113"/>
      <c r="G8" s="113"/>
      <c r="H8" s="113"/>
      <c r="I8" s="113"/>
      <c r="J8" s="113"/>
      <c r="K8" s="113"/>
    </row>
    <row r="9" spans="1:11">
      <c r="A9" s="324"/>
      <c r="B9" s="324"/>
      <c r="C9" s="324"/>
      <c r="D9" s="113"/>
      <c r="E9" s="113"/>
      <c r="F9" s="113"/>
      <c r="G9" s="113"/>
      <c r="H9" s="113"/>
      <c r="I9" s="113"/>
      <c r="J9" s="113"/>
      <c r="K9" s="113"/>
    </row>
    <row r="10" spans="1:11">
      <c r="A10" s="116" t="s">
        <v>206</v>
      </c>
      <c r="B10" s="117"/>
      <c r="C10" s="117"/>
      <c r="D10" s="117"/>
      <c r="E10" s="113"/>
      <c r="F10" s="113"/>
      <c r="G10" s="113"/>
      <c r="H10" s="113"/>
      <c r="I10" s="113"/>
      <c r="J10" s="113"/>
      <c r="K10" s="113"/>
    </row>
    <row r="11" spans="1:11">
      <c r="A11" s="116" t="s">
        <v>207</v>
      </c>
      <c r="B11" s="117"/>
      <c r="C11" s="117"/>
      <c r="D11" s="117"/>
      <c r="E11" s="113"/>
      <c r="F11" s="113"/>
      <c r="G11" s="113"/>
      <c r="H11" s="113"/>
      <c r="I11" s="113"/>
      <c r="J11" s="113"/>
      <c r="K11" s="113"/>
    </row>
    <row r="12" spans="1:11" hidden="1">
      <c r="A12" s="18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6.25" customHeight="1">
      <c r="A13" s="766"/>
      <c r="B13" s="767" t="s">
        <v>208</v>
      </c>
      <c r="C13" s="767" t="s">
        <v>209</v>
      </c>
      <c r="D13" s="767" t="s">
        <v>210</v>
      </c>
      <c r="E13" s="767"/>
      <c r="F13" s="767"/>
      <c r="G13" s="767"/>
      <c r="H13" s="767" t="s">
        <v>211</v>
      </c>
      <c r="I13" s="767" t="s">
        <v>481</v>
      </c>
      <c r="J13" s="784" t="s">
        <v>308</v>
      </c>
      <c r="K13" s="767" t="s">
        <v>309</v>
      </c>
    </row>
    <row r="14" spans="1:11">
      <c r="A14" s="766"/>
      <c r="B14" s="767"/>
      <c r="C14" s="767"/>
      <c r="D14" s="766" t="s">
        <v>212</v>
      </c>
      <c r="E14" s="336" t="s">
        <v>29</v>
      </c>
      <c r="F14" s="336"/>
      <c r="G14" s="336"/>
      <c r="H14" s="767"/>
      <c r="I14" s="767"/>
      <c r="J14" s="785"/>
      <c r="K14" s="767"/>
    </row>
    <row r="15" spans="1:11" ht="48.75">
      <c r="A15" s="766"/>
      <c r="B15" s="767"/>
      <c r="C15" s="767"/>
      <c r="D15" s="766"/>
      <c r="E15" s="120" t="s">
        <v>213</v>
      </c>
      <c r="F15" s="120" t="s">
        <v>214</v>
      </c>
      <c r="G15" s="120" t="s">
        <v>215</v>
      </c>
      <c r="H15" s="767"/>
      <c r="I15" s="767"/>
      <c r="J15" s="786"/>
      <c r="K15" s="767"/>
    </row>
    <row r="16" spans="1:11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  <c r="H16" s="122">
        <v>8</v>
      </c>
      <c r="I16" s="122">
        <v>9</v>
      </c>
      <c r="J16" s="122">
        <v>10</v>
      </c>
      <c r="K16" s="122">
        <v>11</v>
      </c>
    </row>
    <row r="17" spans="1:11">
      <c r="A17" s="122"/>
      <c r="B17" s="122" t="s">
        <v>482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30.75" customHeight="1">
      <c r="A18" s="124">
        <v>1</v>
      </c>
      <c r="B18" s="120" t="s">
        <v>305</v>
      </c>
      <c r="C18" s="125">
        <v>2</v>
      </c>
      <c r="D18" s="125">
        <f>E18+F18+G18</f>
        <v>1390</v>
      </c>
      <c r="E18" s="125">
        <v>1390</v>
      </c>
      <c r="F18" s="125"/>
      <c r="G18" s="125"/>
      <c r="H18" s="125"/>
      <c r="I18" s="169">
        <f>ROUND((C18*D18+H18)*8,0)</f>
        <v>22240</v>
      </c>
      <c r="J18" s="169">
        <f t="shared" ref="J18:J20" si="0">I18</f>
        <v>22240</v>
      </c>
      <c r="K18" s="169">
        <f>J18</f>
        <v>22240</v>
      </c>
    </row>
    <row r="19" spans="1:11" ht="21.75" customHeight="1">
      <c r="A19" s="124">
        <v>2</v>
      </c>
      <c r="B19" s="120" t="s">
        <v>306</v>
      </c>
      <c r="C19" s="125">
        <v>6</v>
      </c>
      <c r="D19" s="125">
        <f>E19+F19+G19</f>
        <v>2778.33</v>
      </c>
      <c r="E19" s="125">
        <v>1481.75</v>
      </c>
      <c r="F19" s="125"/>
      <c r="G19" s="125">
        <v>1296.58</v>
      </c>
      <c r="H19" s="125"/>
      <c r="I19" s="169">
        <f>ROUND((C19*D19+H19)*8,0)</f>
        <v>133360</v>
      </c>
      <c r="J19" s="169">
        <f t="shared" si="0"/>
        <v>133360</v>
      </c>
      <c r="K19" s="169">
        <f>J19</f>
        <v>133360</v>
      </c>
    </row>
    <row r="20" spans="1:11" ht="18.75" customHeight="1">
      <c r="A20" s="124">
        <v>3</v>
      </c>
      <c r="B20" s="120" t="s">
        <v>307</v>
      </c>
      <c r="C20" s="125">
        <v>1</v>
      </c>
      <c r="D20" s="125">
        <f>E20+F20+G20</f>
        <v>1300</v>
      </c>
      <c r="E20" s="125">
        <v>1300</v>
      </c>
      <c r="F20" s="125"/>
      <c r="G20" s="125"/>
      <c r="H20" s="125"/>
      <c r="I20" s="169">
        <f>ROUND((C20*D20+H20)*8,0)</f>
        <v>10400</v>
      </c>
      <c r="J20" s="169">
        <f t="shared" si="0"/>
        <v>10400</v>
      </c>
      <c r="K20" s="169">
        <f>J20</f>
        <v>10400</v>
      </c>
    </row>
    <row r="21" spans="1:11">
      <c r="A21" s="166" t="s">
        <v>216</v>
      </c>
      <c r="B21" s="167"/>
      <c r="C21" s="167">
        <f>C18+C19+C20</f>
        <v>9</v>
      </c>
      <c r="D21" s="167"/>
      <c r="E21" s="167"/>
      <c r="F21" s="167"/>
      <c r="G21" s="167"/>
      <c r="H21" s="167"/>
      <c r="I21" s="170">
        <f>SUM(I18:I20)</f>
        <v>166000</v>
      </c>
      <c r="J21" s="170">
        <f>SUM(J18:J20)</f>
        <v>166000</v>
      </c>
      <c r="K21" s="170">
        <f>SUM(K18:K20)</f>
        <v>166000</v>
      </c>
    </row>
    <row r="22" spans="1:11">
      <c r="A22" s="18"/>
      <c r="B22" s="113"/>
      <c r="C22" s="113"/>
      <c r="D22" s="113"/>
      <c r="E22" s="113"/>
      <c r="F22" s="113"/>
      <c r="G22" s="113"/>
      <c r="H22" s="113"/>
      <c r="I22" s="113">
        <v>166000</v>
      </c>
      <c r="J22" s="113"/>
      <c r="K22" s="113"/>
    </row>
    <row r="23" spans="1:11" hidden="1">
      <c r="A23" s="67" t="s">
        <v>217</v>
      </c>
      <c r="B23" s="117"/>
      <c r="C23" s="117"/>
      <c r="D23" s="117"/>
      <c r="E23" s="117"/>
      <c r="F23" s="117"/>
      <c r="G23" s="117"/>
      <c r="H23" s="117"/>
      <c r="I23" s="117"/>
      <c r="J23" s="362"/>
      <c r="K23" s="117"/>
    </row>
    <row r="24" spans="1:11" hidden="1">
      <c r="A24" s="18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84.75" hidden="1">
      <c r="A25" s="126" t="s">
        <v>218</v>
      </c>
      <c r="B25" s="120" t="s">
        <v>219</v>
      </c>
      <c r="C25" s="120" t="s">
        <v>220</v>
      </c>
      <c r="D25" s="120" t="s">
        <v>221</v>
      </c>
      <c r="E25" s="120" t="s">
        <v>222</v>
      </c>
      <c r="F25" s="120" t="s">
        <v>223</v>
      </c>
      <c r="G25" s="120" t="s">
        <v>223</v>
      </c>
      <c r="H25" s="120" t="s">
        <v>223</v>
      </c>
      <c r="I25" s="127"/>
      <c r="J25" s="127"/>
      <c r="K25" s="127"/>
    </row>
    <row r="26" spans="1:11" hidden="1">
      <c r="A26" s="122">
        <v>1</v>
      </c>
      <c r="B26" s="122">
        <v>2</v>
      </c>
      <c r="C26" s="122">
        <v>3</v>
      </c>
      <c r="D26" s="122">
        <v>4</v>
      </c>
      <c r="E26" s="122">
        <v>5</v>
      </c>
      <c r="F26" s="122">
        <v>6</v>
      </c>
      <c r="G26" s="122">
        <v>7</v>
      </c>
      <c r="H26" s="122">
        <v>8</v>
      </c>
      <c r="I26" s="325"/>
      <c r="J26" s="325"/>
      <c r="K26" s="325"/>
    </row>
    <row r="27" spans="1:11" hidden="1">
      <c r="A27" s="124"/>
      <c r="B27" s="125"/>
      <c r="C27" s="125"/>
      <c r="D27" s="125"/>
      <c r="E27" s="125"/>
      <c r="F27" s="125"/>
      <c r="G27" s="125"/>
      <c r="H27" s="125"/>
      <c r="I27" s="113"/>
      <c r="J27" s="113"/>
      <c r="K27" s="113"/>
    </row>
    <row r="28" spans="1:11" hidden="1">
      <c r="A28" s="124"/>
      <c r="B28" s="125"/>
      <c r="C28" s="125"/>
      <c r="D28" s="125"/>
      <c r="E28" s="125"/>
      <c r="F28" s="125"/>
      <c r="G28" s="125"/>
      <c r="H28" s="125"/>
      <c r="I28" s="113"/>
      <c r="J28" s="113"/>
      <c r="K28" s="113"/>
    </row>
    <row r="29" spans="1:11" hidden="1">
      <c r="A29" s="124"/>
      <c r="B29" s="125"/>
      <c r="C29" s="125"/>
      <c r="D29" s="125"/>
      <c r="E29" s="125"/>
      <c r="F29" s="125"/>
      <c r="G29" s="125"/>
      <c r="H29" s="125"/>
      <c r="I29" s="113"/>
      <c r="J29" s="113"/>
      <c r="K29" s="113"/>
    </row>
    <row r="30" spans="1:11" hidden="1">
      <c r="A30" s="124"/>
      <c r="B30" s="125"/>
      <c r="C30" s="125"/>
      <c r="D30" s="125"/>
      <c r="E30" s="125"/>
      <c r="F30" s="125"/>
      <c r="G30" s="125"/>
      <c r="H30" s="125"/>
      <c r="I30" s="113"/>
      <c r="J30" s="113"/>
      <c r="K30" s="113"/>
    </row>
    <row r="31" spans="1:11" hidden="1">
      <c r="A31" s="124"/>
      <c r="B31" s="125"/>
      <c r="C31" s="125"/>
      <c r="D31" s="125"/>
      <c r="E31" s="125"/>
      <c r="F31" s="125"/>
      <c r="G31" s="125"/>
      <c r="H31" s="125"/>
      <c r="I31" s="113"/>
      <c r="J31" s="113"/>
      <c r="K31" s="113"/>
    </row>
    <row r="32" spans="1:11" hidden="1">
      <c r="A32" s="124"/>
      <c r="B32" s="125"/>
      <c r="C32" s="125"/>
      <c r="D32" s="125"/>
      <c r="E32" s="125"/>
      <c r="F32" s="125"/>
      <c r="G32" s="125"/>
      <c r="H32" s="125"/>
      <c r="I32" s="113"/>
      <c r="J32" s="113"/>
      <c r="K32" s="113"/>
    </row>
    <row r="33" spans="1:11" hidden="1">
      <c r="A33" s="124"/>
      <c r="B33" s="125"/>
      <c r="C33" s="125"/>
      <c r="D33" s="125"/>
      <c r="E33" s="125"/>
      <c r="F33" s="125"/>
      <c r="G33" s="125"/>
      <c r="H33" s="125"/>
      <c r="I33" s="113"/>
      <c r="J33" s="113"/>
      <c r="K33" s="113"/>
    </row>
    <row r="34" spans="1:11" hidden="1">
      <c r="A34" s="18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>
      <c r="A35" s="763" t="s">
        <v>224</v>
      </c>
      <c r="B35" s="763"/>
      <c r="C35" s="763"/>
      <c r="D35" s="763"/>
      <c r="E35" s="763"/>
      <c r="F35" s="763"/>
      <c r="G35" s="763"/>
      <c r="H35" s="763"/>
      <c r="I35" s="113"/>
      <c r="J35" s="113"/>
      <c r="K35" s="113"/>
    </row>
    <row r="36" spans="1:11">
      <c r="A36" s="18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60.75">
      <c r="A37" s="126" t="s">
        <v>218</v>
      </c>
      <c r="B37" s="733" t="s">
        <v>225</v>
      </c>
      <c r="C37" s="764"/>
      <c r="D37" s="734"/>
      <c r="E37" s="120" t="s">
        <v>226</v>
      </c>
      <c r="F37" s="120" t="s">
        <v>301</v>
      </c>
      <c r="G37" s="120" t="s">
        <v>302</v>
      </c>
      <c r="H37" s="120" t="s">
        <v>421</v>
      </c>
      <c r="I37" s="113"/>
      <c r="J37" s="113"/>
      <c r="K37" s="113"/>
    </row>
    <row r="38" spans="1:11">
      <c r="A38" s="122">
        <v>1</v>
      </c>
      <c r="B38" s="725">
        <v>2</v>
      </c>
      <c r="C38" s="765"/>
      <c r="D38" s="726"/>
      <c r="E38" s="122">
        <v>3</v>
      </c>
      <c r="F38" s="122">
        <v>4</v>
      </c>
      <c r="G38" s="122">
        <v>5</v>
      </c>
      <c r="H38" s="122">
        <v>6</v>
      </c>
      <c r="I38" s="113"/>
      <c r="J38" s="113"/>
      <c r="K38" s="113"/>
    </row>
    <row r="39" spans="1:11">
      <c r="A39" s="124">
        <v>1</v>
      </c>
      <c r="B39" s="759" t="s">
        <v>227</v>
      </c>
      <c r="C39" s="760"/>
      <c r="D39" s="761"/>
      <c r="E39" s="169"/>
      <c r="F39" s="169">
        <f>F41</f>
        <v>36520</v>
      </c>
      <c r="G39" s="169">
        <f t="shared" ref="G39:H39" si="1">G41</f>
        <v>36520</v>
      </c>
      <c r="H39" s="169">
        <f t="shared" si="1"/>
        <v>36520</v>
      </c>
      <c r="I39" s="113"/>
      <c r="J39" s="113"/>
      <c r="K39" s="113"/>
    </row>
    <row r="40" spans="1:11">
      <c r="A40" s="124"/>
      <c r="B40" s="759" t="s">
        <v>29</v>
      </c>
      <c r="C40" s="760"/>
      <c r="D40" s="761"/>
      <c r="E40" s="169"/>
      <c r="F40" s="169"/>
      <c r="G40" s="169"/>
      <c r="H40" s="169"/>
      <c r="I40" s="113"/>
      <c r="J40" s="113"/>
      <c r="K40" s="113"/>
    </row>
    <row r="41" spans="1:11">
      <c r="A41" s="130"/>
      <c r="B41" s="759" t="s">
        <v>228</v>
      </c>
      <c r="C41" s="760"/>
      <c r="D41" s="761"/>
      <c r="E41" s="169">
        <f>I21</f>
        <v>166000</v>
      </c>
      <c r="F41" s="169">
        <f>ROUND(E41*0.22,0)</f>
        <v>36520</v>
      </c>
      <c r="G41" s="169">
        <f>ROUND(J21*0.22,0)</f>
        <v>36520</v>
      </c>
      <c r="H41" s="169">
        <f>ROUND(K21*0.22,0)</f>
        <v>36520</v>
      </c>
      <c r="I41" s="113"/>
      <c r="J41" s="113"/>
      <c r="K41" s="113"/>
    </row>
    <row r="42" spans="1:11">
      <c r="A42" s="124">
        <v>2</v>
      </c>
      <c r="B42" s="759" t="s">
        <v>229</v>
      </c>
      <c r="C42" s="760"/>
      <c r="D42" s="761"/>
      <c r="E42" s="169"/>
      <c r="F42" s="169">
        <f>F43+F44</f>
        <v>5146</v>
      </c>
      <c r="G42" s="169">
        <f t="shared" ref="G42:H42" si="2">G43+G44</f>
        <v>5146</v>
      </c>
      <c r="H42" s="169">
        <f t="shared" si="2"/>
        <v>5146</v>
      </c>
      <c r="I42" s="113"/>
      <c r="J42" s="113"/>
      <c r="K42" s="113"/>
    </row>
    <row r="43" spans="1:11">
      <c r="A43" s="124"/>
      <c r="B43" s="759" t="s">
        <v>230</v>
      </c>
      <c r="C43" s="760"/>
      <c r="D43" s="761"/>
      <c r="E43" s="169">
        <f>E41</f>
        <v>166000</v>
      </c>
      <c r="F43" s="169">
        <f>ROUND(E43*0.029,0)</f>
        <v>4814</v>
      </c>
      <c r="G43" s="169">
        <f>ROUND(J21*0.029,0)</f>
        <v>4814</v>
      </c>
      <c r="H43" s="169">
        <f>ROUND(K21*0.029,0)</f>
        <v>4814</v>
      </c>
      <c r="I43" s="113"/>
      <c r="J43" s="113"/>
      <c r="K43" s="113"/>
    </row>
    <row r="44" spans="1:11">
      <c r="A44" s="124"/>
      <c r="B44" s="759" t="s">
        <v>231</v>
      </c>
      <c r="C44" s="760"/>
      <c r="D44" s="761"/>
      <c r="E44" s="169">
        <f>E43</f>
        <v>166000</v>
      </c>
      <c r="F44" s="169">
        <f>ROUND(E44*0.002,0)</f>
        <v>332</v>
      </c>
      <c r="G44" s="169">
        <f>ROUND(J21*0.002,0)</f>
        <v>332</v>
      </c>
      <c r="H44" s="169">
        <f>ROUND(K21*0.002,0)</f>
        <v>332</v>
      </c>
      <c r="I44" s="113"/>
      <c r="J44" s="113"/>
      <c r="K44" s="113"/>
    </row>
    <row r="45" spans="1:11">
      <c r="A45" s="124">
        <v>3</v>
      </c>
      <c r="B45" s="759" t="s">
        <v>232</v>
      </c>
      <c r="C45" s="760"/>
      <c r="D45" s="761"/>
      <c r="E45" s="169">
        <f>E44</f>
        <v>166000</v>
      </c>
      <c r="F45" s="169">
        <f>ROUND(E45*0.051,0)</f>
        <v>8466</v>
      </c>
      <c r="G45" s="169">
        <f>ROUND(J21*0.051,0)</f>
        <v>8466</v>
      </c>
      <c r="H45" s="169">
        <f>ROUND(K21*0.051,0)</f>
        <v>8466</v>
      </c>
      <c r="I45" s="113"/>
      <c r="J45" s="113"/>
      <c r="K45" s="113"/>
    </row>
    <row r="46" spans="1:11">
      <c r="A46" s="166"/>
      <c r="B46" s="762" t="s">
        <v>216</v>
      </c>
      <c r="C46" s="762"/>
      <c r="D46" s="762"/>
      <c r="E46" s="170"/>
      <c r="F46" s="170">
        <f>F39+F42+F45</f>
        <v>50132</v>
      </c>
      <c r="G46" s="170">
        <f t="shared" ref="G46:H46" si="3">G39+G42+G45</f>
        <v>50132</v>
      </c>
      <c r="H46" s="170">
        <f t="shared" si="3"/>
        <v>50132</v>
      </c>
      <c r="I46" s="171"/>
      <c r="J46" s="171"/>
      <c r="K46" s="171"/>
    </row>
    <row r="47" spans="1:11">
      <c r="A47" s="18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idden="1">
      <c r="A48" s="67" t="s">
        <v>233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hidden="1">
      <c r="A49" s="18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1:11" ht="48.75" hidden="1">
      <c r="A50" s="126" t="s">
        <v>218</v>
      </c>
      <c r="B50" s="733" t="s">
        <v>0</v>
      </c>
      <c r="C50" s="734"/>
      <c r="D50" s="120" t="s">
        <v>234</v>
      </c>
      <c r="E50" s="120" t="s">
        <v>235</v>
      </c>
      <c r="F50" s="120" t="s">
        <v>484</v>
      </c>
      <c r="G50" s="120" t="s">
        <v>303</v>
      </c>
      <c r="H50" s="120" t="s">
        <v>304</v>
      </c>
      <c r="I50" s="113"/>
      <c r="J50" s="113"/>
      <c r="K50" s="113"/>
    </row>
    <row r="51" spans="1:11" hidden="1">
      <c r="A51" s="122">
        <v>1</v>
      </c>
      <c r="B51" s="725">
        <v>2</v>
      </c>
      <c r="C51" s="726"/>
      <c r="D51" s="122">
        <v>3</v>
      </c>
      <c r="E51" s="122">
        <v>4</v>
      </c>
      <c r="F51" s="122">
        <v>5</v>
      </c>
      <c r="G51" s="122">
        <v>6</v>
      </c>
      <c r="H51" s="122">
        <v>7</v>
      </c>
      <c r="I51" s="113"/>
      <c r="J51" s="113"/>
      <c r="K51" s="113"/>
    </row>
    <row r="52" spans="1:11" hidden="1">
      <c r="A52" s="124">
        <v>1</v>
      </c>
      <c r="B52" s="725" t="s">
        <v>310</v>
      </c>
      <c r="C52" s="726"/>
      <c r="D52" s="125"/>
      <c r="E52" s="125"/>
      <c r="F52" s="169">
        <f>D52*E52</f>
        <v>0</v>
      </c>
      <c r="G52" s="169"/>
      <c r="H52" s="169"/>
      <c r="I52" s="113"/>
      <c r="J52" s="113"/>
      <c r="K52" s="113"/>
    </row>
    <row r="53" spans="1:11" hidden="1">
      <c r="A53" s="124">
        <v>2</v>
      </c>
      <c r="B53" s="725" t="s">
        <v>352</v>
      </c>
      <c r="C53" s="726"/>
      <c r="D53" s="125"/>
      <c r="E53" s="125"/>
      <c r="F53" s="169">
        <f t="shared" ref="F53:F57" si="4">D53*E53</f>
        <v>0</v>
      </c>
      <c r="G53" s="169"/>
      <c r="H53" s="169"/>
      <c r="I53" s="113"/>
      <c r="J53" s="113"/>
      <c r="K53" s="113"/>
    </row>
    <row r="54" spans="1:11" hidden="1">
      <c r="A54" s="124"/>
      <c r="B54" s="725"/>
      <c r="C54" s="726"/>
      <c r="D54" s="125"/>
      <c r="E54" s="125"/>
      <c r="F54" s="169">
        <f t="shared" si="4"/>
        <v>0</v>
      </c>
      <c r="G54" s="169"/>
      <c r="H54" s="169"/>
      <c r="I54" s="113"/>
      <c r="J54" s="113"/>
      <c r="K54" s="113"/>
    </row>
    <row r="55" spans="1:11" hidden="1">
      <c r="A55" s="124"/>
      <c r="B55" s="725"/>
      <c r="C55" s="726"/>
      <c r="D55" s="125"/>
      <c r="E55" s="125"/>
      <c r="F55" s="169">
        <f t="shared" si="4"/>
        <v>0</v>
      </c>
      <c r="G55" s="169"/>
      <c r="H55" s="169"/>
      <c r="I55" s="113"/>
      <c r="J55" s="113"/>
      <c r="K55" s="113"/>
    </row>
    <row r="56" spans="1:11" hidden="1">
      <c r="A56" s="124"/>
      <c r="B56" s="725"/>
      <c r="C56" s="726"/>
      <c r="D56" s="125"/>
      <c r="E56" s="125"/>
      <c r="F56" s="169">
        <f t="shared" si="4"/>
        <v>0</v>
      </c>
      <c r="G56" s="169"/>
      <c r="H56" s="169"/>
      <c r="I56" s="113"/>
      <c r="J56" s="113"/>
      <c r="K56" s="113"/>
    </row>
    <row r="57" spans="1:11" hidden="1">
      <c r="A57" s="124"/>
      <c r="B57" s="725"/>
      <c r="C57" s="726"/>
      <c r="D57" s="125"/>
      <c r="E57" s="125"/>
      <c r="F57" s="169">
        <f t="shared" si="4"/>
        <v>0</v>
      </c>
      <c r="G57" s="169"/>
      <c r="H57" s="169"/>
      <c r="I57" s="113"/>
      <c r="J57" s="113"/>
      <c r="K57" s="113"/>
    </row>
    <row r="58" spans="1:11" hidden="1">
      <c r="A58" s="166"/>
      <c r="B58" s="727" t="s">
        <v>216</v>
      </c>
      <c r="C58" s="728"/>
      <c r="D58" s="167"/>
      <c r="E58" s="167"/>
      <c r="F58" s="170">
        <f>SUM(F52:F57)</f>
        <v>0</v>
      </c>
      <c r="G58" s="170">
        <f t="shared" ref="G58:H58" si="5">SUM(G52:G57)</f>
        <v>0</v>
      </c>
      <c r="H58" s="170">
        <f t="shared" si="5"/>
        <v>0</v>
      </c>
      <c r="I58" s="171"/>
      <c r="J58" s="171"/>
      <c r="K58" s="171"/>
    </row>
    <row r="59" spans="1:11" hidden="1">
      <c r="A59" s="18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>
      <c r="A60" s="67" t="s">
        <v>236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>
      <c r="A61" s="18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spans="1:11" ht="72.75">
      <c r="A62" s="126" t="s">
        <v>218</v>
      </c>
      <c r="B62" s="733" t="s">
        <v>237</v>
      </c>
      <c r="C62" s="734"/>
      <c r="D62" s="120" t="s">
        <v>238</v>
      </c>
      <c r="E62" s="120" t="s">
        <v>239</v>
      </c>
      <c r="F62" s="120" t="s">
        <v>423</v>
      </c>
      <c r="G62" s="120" t="s">
        <v>424</v>
      </c>
      <c r="H62" s="120" t="s">
        <v>425</v>
      </c>
      <c r="I62" s="113"/>
      <c r="J62" s="113"/>
      <c r="K62" s="113"/>
    </row>
    <row r="63" spans="1:11">
      <c r="A63" s="122">
        <v>1</v>
      </c>
      <c r="B63" s="725">
        <v>2</v>
      </c>
      <c r="C63" s="726"/>
      <c r="D63" s="122">
        <v>3</v>
      </c>
      <c r="E63" s="122">
        <v>4</v>
      </c>
      <c r="F63" s="122">
        <v>5</v>
      </c>
      <c r="G63" s="122">
        <v>6</v>
      </c>
      <c r="H63" s="122">
        <v>7</v>
      </c>
      <c r="I63" s="113"/>
      <c r="J63" s="113"/>
      <c r="K63" s="113"/>
    </row>
    <row r="64" spans="1:11">
      <c r="A64" s="124">
        <v>1</v>
      </c>
      <c r="B64" s="756" t="s">
        <v>560</v>
      </c>
      <c r="C64" s="757"/>
      <c r="D64" s="125"/>
      <c r="E64" s="174"/>
      <c r="F64" s="169">
        <v>4505</v>
      </c>
      <c r="G64" s="169">
        <v>4505</v>
      </c>
      <c r="H64" s="169">
        <v>4505</v>
      </c>
      <c r="I64" s="113"/>
      <c r="J64" s="113"/>
      <c r="K64" s="113"/>
    </row>
    <row r="65" spans="1:11" hidden="1">
      <c r="A65" s="124"/>
      <c r="B65" s="756"/>
      <c r="C65" s="757"/>
      <c r="D65" s="125"/>
      <c r="E65" s="174"/>
      <c r="F65" s="169"/>
      <c r="G65" s="169"/>
      <c r="H65" s="169"/>
      <c r="I65" s="113"/>
      <c r="J65" s="113"/>
      <c r="K65" s="113"/>
    </row>
    <row r="66" spans="1:11" hidden="1">
      <c r="A66" s="124"/>
      <c r="B66" s="725"/>
      <c r="C66" s="726"/>
      <c r="D66" s="125"/>
      <c r="E66" s="125"/>
      <c r="F66" s="169"/>
      <c r="G66" s="169"/>
      <c r="H66" s="169"/>
      <c r="I66" s="113"/>
      <c r="J66" s="113"/>
      <c r="K66" s="113"/>
    </row>
    <row r="67" spans="1:11" hidden="1">
      <c r="A67" s="124"/>
      <c r="B67" s="725"/>
      <c r="C67" s="726"/>
      <c r="D67" s="125"/>
      <c r="E67" s="125"/>
      <c r="F67" s="169"/>
      <c r="G67" s="169"/>
      <c r="H67" s="169"/>
      <c r="I67" s="113"/>
      <c r="J67" s="113"/>
      <c r="K67" s="113"/>
    </row>
    <row r="68" spans="1:11" hidden="1">
      <c r="A68" s="124"/>
      <c r="B68" s="725"/>
      <c r="C68" s="726"/>
      <c r="D68" s="125"/>
      <c r="E68" s="125"/>
      <c r="F68" s="169"/>
      <c r="G68" s="169"/>
      <c r="H68" s="169"/>
      <c r="I68" s="113"/>
      <c r="J68" s="113"/>
      <c r="K68" s="113"/>
    </row>
    <row r="69" spans="1:11" hidden="1">
      <c r="A69" s="124"/>
      <c r="B69" s="725"/>
      <c r="C69" s="726"/>
      <c r="D69" s="125"/>
      <c r="E69" s="125"/>
      <c r="F69" s="169"/>
      <c r="G69" s="169"/>
      <c r="H69" s="169"/>
      <c r="I69" s="113"/>
      <c r="J69" s="113"/>
      <c r="K69" s="113"/>
    </row>
    <row r="70" spans="1:11">
      <c r="A70" s="166"/>
      <c r="B70" s="727"/>
      <c r="C70" s="728"/>
      <c r="D70" s="167"/>
      <c r="E70" s="167"/>
      <c r="F70" s="170">
        <f>F64</f>
        <v>4505</v>
      </c>
      <c r="G70" s="170">
        <f>G64</f>
        <v>4505</v>
      </c>
      <c r="H70" s="170">
        <f>H64</f>
        <v>4505</v>
      </c>
      <c r="I70" s="171"/>
      <c r="J70" s="171"/>
      <c r="K70" s="171"/>
    </row>
    <row r="71" spans="1:11">
      <c r="A71" s="18"/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1:11" hidden="1">
      <c r="A72" s="758" t="s">
        <v>240</v>
      </c>
      <c r="B72" s="758"/>
      <c r="C72" s="758"/>
      <c r="D72" s="758"/>
      <c r="E72" s="758"/>
      <c r="F72" s="758"/>
      <c r="G72" s="758"/>
      <c r="H72" s="758"/>
      <c r="I72" s="113"/>
      <c r="J72" s="113"/>
      <c r="K72" s="113"/>
    </row>
    <row r="73" spans="1:11" hidden="1">
      <c r="A73" s="18"/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48.75" hidden="1">
      <c r="A74" s="126" t="s">
        <v>218</v>
      </c>
      <c r="B74" s="733" t="s">
        <v>0</v>
      </c>
      <c r="C74" s="734"/>
      <c r="D74" s="120" t="s">
        <v>241</v>
      </c>
      <c r="E74" s="120" t="s">
        <v>235</v>
      </c>
      <c r="F74" s="120" t="s">
        <v>242</v>
      </c>
      <c r="G74" s="120" t="s">
        <v>242</v>
      </c>
      <c r="H74" s="120" t="s">
        <v>242</v>
      </c>
      <c r="I74" s="113"/>
      <c r="J74" s="113"/>
      <c r="K74" s="113"/>
    </row>
    <row r="75" spans="1:11" hidden="1">
      <c r="A75" s="122">
        <v>1</v>
      </c>
      <c r="B75" s="725">
        <v>2</v>
      </c>
      <c r="C75" s="726"/>
      <c r="D75" s="122">
        <v>3</v>
      </c>
      <c r="E75" s="122">
        <v>4</v>
      </c>
      <c r="F75" s="122">
        <v>5</v>
      </c>
      <c r="G75" s="122">
        <v>6</v>
      </c>
      <c r="H75" s="122">
        <v>7</v>
      </c>
      <c r="I75" s="113"/>
      <c r="J75" s="113"/>
      <c r="K75" s="113"/>
    </row>
    <row r="76" spans="1:11" hidden="1">
      <c r="A76" s="124"/>
      <c r="B76" s="725"/>
      <c r="C76" s="726"/>
      <c r="D76" s="125"/>
      <c r="E76" s="125"/>
      <c r="F76" s="125"/>
      <c r="G76" s="125"/>
      <c r="H76" s="125"/>
      <c r="I76" s="113"/>
      <c r="J76" s="113"/>
      <c r="K76" s="113"/>
    </row>
    <row r="77" spans="1:11" hidden="1">
      <c r="A77" s="124"/>
      <c r="B77" s="725"/>
      <c r="C77" s="726"/>
      <c r="D77" s="125"/>
      <c r="E77" s="125"/>
      <c r="F77" s="125"/>
      <c r="G77" s="125"/>
      <c r="H77" s="125"/>
      <c r="I77" s="113"/>
      <c r="J77" s="113"/>
      <c r="K77" s="113"/>
    </row>
    <row r="78" spans="1:11" hidden="1">
      <c r="A78" s="124"/>
      <c r="B78" s="725"/>
      <c r="C78" s="726"/>
      <c r="D78" s="125"/>
      <c r="E78" s="125"/>
      <c r="F78" s="125"/>
      <c r="G78" s="125"/>
      <c r="H78" s="125"/>
      <c r="I78" s="113"/>
      <c r="J78" s="113"/>
      <c r="K78" s="113"/>
    </row>
    <row r="79" spans="1:11" hidden="1">
      <c r="A79" s="124"/>
      <c r="B79" s="725"/>
      <c r="C79" s="726"/>
      <c r="D79" s="125"/>
      <c r="E79" s="125"/>
      <c r="F79" s="125"/>
      <c r="G79" s="125"/>
      <c r="H79" s="125"/>
      <c r="I79" s="113"/>
      <c r="J79" s="113"/>
      <c r="K79" s="113"/>
    </row>
    <row r="80" spans="1:11" hidden="1">
      <c r="A80" s="124"/>
      <c r="B80" s="725"/>
      <c r="C80" s="726"/>
      <c r="D80" s="125"/>
      <c r="E80" s="125"/>
      <c r="F80" s="125"/>
      <c r="G80" s="125"/>
      <c r="H80" s="125"/>
      <c r="I80" s="113"/>
      <c r="J80" s="113"/>
      <c r="K80" s="113"/>
    </row>
    <row r="81" spans="1:11" hidden="1">
      <c r="A81" s="124"/>
      <c r="B81" s="725"/>
      <c r="C81" s="726"/>
      <c r="D81" s="125"/>
      <c r="E81" s="125"/>
      <c r="F81" s="125"/>
      <c r="G81" s="125"/>
      <c r="H81" s="125"/>
      <c r="I81" s="113"/>
      <c r="J81" s="113"/>
      <c r="K81" s="113"/>
    </row>
    <row r="82" spans="1:11" hidden="1">
      <c r="A82" s="124"/>
      <c r="B82" s="725" t="s">
        <v>216</v>
      </c>
      <c r="C82" s="726"/>
      <c r="D82" s="125"/>
      <c r="E82" s="125"/>
      <c r="F82" s="125"/>
      <c r="G82" s="125"/>
      <c r="H82" s="125"/>
      <c r="I82" s="113"/>
      <c r="J82" s="113"/>
      <c r="K82" s="113"/>
    </row>
    <row r="83" spans="1:11" hidden="1">
      <c r="A83" s="18"/>
      <c r="B83" s="113"/>
      <c r="C83" s="113"/>
      <c r="D83" s="113"/>
      <c r="E83" s="113"/>
      <c r="F83" s="113"/>
      <c r="G83" s="113"/>
      <c r="H83" s="113"/>
      <c r="I83" s="113"/>
      <c r="J83" s="113"/>
      <c r="K83" s="113"/>
    </row>
    <row r="84" spans="1:11">
      <c r="A84" s="67" t="s">
        <v>243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>
      <c r="A85" s="67" t="s">
        <v>244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>
      <c r="A86" s="18"/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spans="1:11" ht="48.75">
      <c r="A87" s="126" t="s">
        <v>218</v>
      </c>
      <c r="B87" s="733" t="s">
        <v>313</v>
      </c>
      <c r="C87" s="734"/>
      <c r="D87" s="120" t="s">
        <v>245</v>
      </c>
      <c r="E87" s="120" t="s">
        <v>246</v>
      </c>
      <c r="F87" s="120" t="s">
        <v>247</v>
      </c>
      <c r="G87" s="120" t="s">
        <v>484</v>
      </c>
      <c r="H87" s="120" t="s">
        <v>303</v>
      </c>
      <c r="I87" s="120" t="s">
        <v>304</v>
      </c>
      <c r="J87" s="113"/>
      <c r="K87" s="113"/>
    </row>
    <row r="88" spans="1:11">
      <c r="A88" s="122">
        <v>1</v>
      </c>
      <c r="B88" s="725">
        <v>2</v>
      </c>
      <c r="C88" s="726"/>
      <c r="D88" s="122">
        <v>3</v>
      </c>
      <c r="E88" s="122">
        <v>4</v>
      </c>
      <c r="F88" s="122">
        <v>5</v>
      </c>
      <c r="G88" s="122">
        <v>6</v>
      </c>
      <c r="H88" s="122">
        <v>7</v>
      </c>
      <c r="I88" s="122">
        <v>8</v>
      </c>
      <c r="J88" s="113"/>
      <c r="K88" s="113"/>
    </row>
    <row r="89" spans="1:11">
      <c r="A89" s="124"/>
      <c r="B89" s="756" t="s">
        <v>488</v>
      </c>
      <c r="C89" s="757"/>
      <c r="D89" s="125"/>
      <c r="E89" s="125"/>
      <c r="F89" s="125"/>
      <c r="G89" s="169"/>
      <c r="H89" s="169"/>
      <c r="I89" s="169"/>
      <c r="J89" s="113"/>
      <c r="K89" s="113"/>
    </row>
    <row r="90" spans="1:11">
      <c r="A90" s="124"/>
      <c r="B90" s="756" t="s">
        <v>314</v>
      </c>
      <c r="C90" s="757"/>
      <c r="D90" s="125">
        <v>1</v>
      </c>
      <c r="E90" s="125">
        <v>12</v>
      </c>
      <c r="F90" s="125">
        <v>252</v>
      </c>
      <c r="G90" s="169">
        <f>D90*E90*F90</f>
        <v>3024</v>
      </c>
      <c r="H90" s="169">
        <f>G90</f>
        <v>3024</v>
      </c>
      <c r="I90" s="169">
        <f>H90</f>
        <v>3024</v>
      </c>
      <c r="J90" s="113"/>
      <c r="K90" s="113"/>
    </row>
    <row r="91" spans="1:11">
      <c r="A91" s="124"/>
      <c r="B91" s="334" t="s">
        <v>315</v>
      </c>
      <c r="C91" s="335"/>
      <c r="D91" s="125">
        <v>282</v>
      </c>
      <c r="E91" s="125">
        <v>12</v>
      </c>
      <c r="F91" s="125">
        <v>0.62</v>
      </c>
      <c r="G91" s="169">
        <f>D91*E91*F91+1.92</f>
        <v>2100</v>
      </c>
      <c r="H91" s="169">
        <f t="shared" ref="H91:I92" si="6">G91</f>
        <v>2100</v>
      </c>
      <c r="I91" s="169">
        <f t="shared" si="6"/>
        <v>2100</v>
      </c>
      <c r="J91" s="113"/>
      <c r="K91" s="113"/>
    </row>
    <row r="92" spans="1:11" hidden="1">
      <c r="A92" s="124"/>
      <c r="B92" s="334"/>
      <c r="C92" s="335"/>
      <c r="D92" s="125"/>
      <c r="E92" s="125"/>
      <c r="F92" s="125"/>
      <c r="G92" s="169">
        <f>D92*E92*F92</f>
        <v>0</v>
      </c>
      <c r="H92" s="169">
        <f t="shared" si="6"/>
        <v>0</v>
      </c>
      <c r="I92" s="169">
        <f t="shared" si="6"/>
        <v>0</v>
      </c>
      <c r="J92" s="113"/>
      <c r="K92" s="113"/>
    </row>
    <row r="93" spans="1:11" hidden="1">
      <c r="A93" s="124"/>
      <c r="B93" s="725"/>
      <c r="C93" s="726"/>
      <c r="D93" s="125"/>
      <c r="E93" s="125"/>
      <c r="F93" s="125"/>
      <c r="G93" s="169"/>
      <c r="H93" s="169"/>
      <c r="I93" s="169"/>
      <c r="J93" s="113"/>
      <c r="K93" s="113"/>
    </row>
    <row r="94" spans="1:11" hidden="1">
      <c r="A94" s="124"/>
      <c r="B94" s="725"/>
      <c r="C94" s="726"/>
      <c r="D94" s="125"/>
      <c r="E94" s="125"/>
      <c r="F94" s="125"/>
      <c r="G94" s="169"/>
      <c r="H94" s="169"/>
      <c r="I94" s="169"/>
      <c r="J94" s="113"/>
      <c r="K94" s="113"/>
    </row>
    <row r="95" spans="1:11">
      <c r="A95" s="166"/>
      <c r="B95" s="727" t="s">
        <v>216</v>
      </c>
      <c r="C95" s="728"/>
      <c r="D95" s="167"/>
      <c r="E95" s="167"/>
      <c r="F95" s="167"/>
      <c r="G95" s="170">
        <f>SUM(G89:G94)</f>
        <v>5124</v>
      </c>
      <c r="H95" s="170">
        <f t="shared" ref="H95:I95" si="7">SUM(H89:H94)</f>
        <v>5124</v>
      </c>
      <c r="I95" s="170">
        <f t="shared" si="7"/>
        <v>5124</v>
      </c>
      <c r="J95" s="171"/>
      <c r="K95" s="171"/>
    </row>
    <row r="96" spans="1:11">
      <c r="A96" s="18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1" hidden="1">
      <c r="A97" s="67" t="s">
        <v>248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idden="1">
      <c r="A98" s="18"/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ht="60.75" hidden="1">
      <c r="A99" s="126" t="s">
        <v>218</v>
      </c>
      <c r="B99" s="733" t="s">
        <v>237</v>
      </c>
      <c r="C99" s="734"/>
      <c r="D99" s="120" t="s">
        <v>249</v>
      </c>
      <c r="E99" s="120" t="s">
        <v>250</v>
      </c>
      <c r="F99" s="120" t="s">
        <v>484</v>
      </c>
      <c r="G99" s="120" t="s">
        <v>303</v>
      </c>
      <c r="H99" s="120" t="s">
        <v>304</v>
      </c>
      <c r="I99" s="113"/>
      <c r="J99" s="113"/>
      <c r="K99" s="113"/>
    </row>
    <row r="100" spans="1:11" hidden="1">
      <c r="A100" s="122">
        <v>1</v>
      </c>
      <c r="B100" s="725">
        <v>2</v>
      </c>
      <c r="C100" s="726"/>
      <c r="D100" s="122">
        <v>3</v>
      </c>
      <c r="E100" s="122">
        <v>4</v>
      </c>
      <c r="F100" s="122">
        <v>5</v>
      </c>
      <c r="G100" s="122">
        <v>6</v>
      </c>
      <c r="H100" s="122">
        <v>7</v>
      </c>
      <c r="I100" s="113"/>
      <c r="J100" s="113"/>
      <c r="K100" s="113"/>
    </row>
    <row r="101" spans="1:11" hidden="1">
      <c r="A101" s="124">
        <v>1</v>
      </c>
      <c r="B101" s="725"/>
      <c r="C101" s="726"/>
      <c r="D101" s="125"/>
      <c r="E101" s="125"/>
      <c r="F101" s="125">
        <f>D101*E101</f>
        <v>0</v>
      </c>
      <c r="G101" s="125"/>
      <c r="H101" s="125"/>
      <c r="I101" s="113"/>
      <c r="J101" s="113"/>
      <c r="K101" s="113"/>
    </row>
    <row r="102" spans="1:11" hidden="1">
      <c r="A102" s="124"/>
      <c r="B102" s="725"/>
      <c r="C102" s="726"/>
      <c r="D102" s="125"/>
      <c r="E102" s="125"/>
      <c r="F102" s="125">
        <f t="shared" ref="F102:F106" si="8">D102*E102</f>
        <v>0</v>
      </c>
      <c r="G102" s="125"/>
      <c r="H102" s="125"/>
      <c r="I102" s="113"/>
      <c r="J102" s="113"/>
      <c r="K102" s="113"/>
    </row>
    <row r="103" spans="1:11" hidden="1">
      <c r="A103" s="124"/>
      <c r="B103" s="725"/>
      <c r="C103" s="726"/>
      <c r="D103" s="125"/>
      <c r="E103" s="125"/>
      <c r="F103" s="125">
        <f t="shared" si="8"/>
        <v>0</v>
      </c>
      <c r="G103" s="125"/>
      <c r="H103" s="125"/>
      <c r="I103" s="113"/>
      <c r="J103" s="113"/>
      <c r="K103" s="113"/>
    </row>
    <row r="104" spans="1:11" hidden="1">
      <c r="A104" s="124"/>
      <c r="B104" s="725"/>
      <c r="C104" s="726"/>
      <c r="D104" s="125"/>
      <c r="E104" s="125"/>
      <c r="F104" s="125">
        <f t="shared" si="8"/>
        <v>0</v>
      </c>
      <c r="G104" s="125"/>
      <c r="H104" s="125"/>
      <c r="I104" s="113"/>
      <c r="J104" s="113"/>
      <c r="K104" s="113"/>
    </row>
    <row r="105" spans="1:11" hidden="1">
      <c r="A105" s="124"/>
      <c r="B105" s="725"/>
      <c r="C105" s="726"/>
      <c r="D105" s="125"/>
      <c r="E105" s="125"/>
      <c r="F105" s="125">
        <f t="shared" si="8"/>
        <v>0</v>
      </c>
      <c r="G105" s="125"/>
      <c r="H105" s="125"/>
      <c r="I105" s="113"/>
      <c r="J105" s="113"/>
      <c r="K105" s="113"/>
    </row>
    <row r="106" spans="1:11" hidden="1">
      <c r="A106" s="124"/>
      <c r="B106" s="725"/>
      <c r="C106" s="726"/>
      <c r="D106" s="125"/>
      <c r="E106" s="125"/>
      <c r="F106" s="125">
        <f t="shared" si="8"/>
        <v>0</v>
      </c>
      <c r="G106" s="125"/>
      <c r="H106" s="125"/>
      <c r="I106" s="113"/>
      <c r="J106" s="113"/>
      <c r="K106" s="113"/>
    </row>
    <row r="107" spans="1:11" hidden="1">
      <c r="A107" s="166"/>
      <c r="B107" s="727" t="s">
        <v>216</v>
      </c>
      <c r="C107" s="728"/>
      <c r="D107" s="167"/>
      <c r="E107" s="167"/>
      <c r="F107" s="167">
        <f>SUM(F101:F106)</f>
        <v>0</v>
      </c>
      <c r="G107" s="167">
        <f t="shared" ref="G107:H107" si="9">SUM(G101:G106)</f>
        <v>0</v>
      </c>
      <c r="H107" s="167">
        <f t="shared" si="9"/>
        <v>0</v>
      </c>
      <c r="I107" s="171"/>
      <c r="J107" s="171"/>
      <c r="K107" s="171"/>
    </row>
    <row r="108" spans="1:11" hidden="1">
      <c r="A108" s="18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1:11">
      <c r="A109" s="67" t="s">
        <v>251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1:11">
      <c r="A110" s="18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1:11" ht="48.75">
      <c r="A111" s="126" t="s">
        <v>218</v>
      </c>
      <c r="B111" s="733" t="s">
        <v>0</v>
      </c>
      <c r="C111" s="734"/>
      <c r="D111" s="120" t="s">
        <v>252</v>
      </c>
      <c r="E111" s="120" t="s">
        <v>253</v>
      </c>
      <c r="F111" s="120" t="s">
        <v>254</v>
      </c>
      <c r="G111" s="120" t="s">
        <v>484</v>
      </c>
      <c r="H111" s="120" t="s">
        <v>303</v>
      </c>
      <c r="I111" s="120" t="s">
        <v>304</v>
      </c>
      <c r="J111" s="113"/>
      <c r="K111" s="113"/>
    </row>
    <row r="112" spans="1:11">
      <c r="A112" s="122">
        <v>1</v>
      </c>
      <c r="B112" s="725">
        <v>2</v>
      </c>
      <c r="C112" s="726"/>
      <c r="D112" s="122">
        <v>3</v>
      </c>
      <c r="E112" s="122">
        <v>4</v>
      </c>
      <c r="F112" s="122">
        <v>5</v>
      </c>
      <c r="G112" s="122">
        <v>6</v>
      </c>
      <c r="H112" s="122">
        <v>7</v>
      </c>
      <c r="I112" s="122">
        <v>8</v>
      </c>
      <c r="J112" s="113"/>
      <c r="K112" s="113"/>
    </row>
    <row r="113" spans="1:11" ht="15" customHeight="1">
      <c r="A113" s="124"/>
      <c r="B113" s="752" t="s">
        <v>438</v>
      </c>
      <c r="C113" s="753"/>
      <c r="D113" s="754"/>
      <c r="E113" s="754"/>
      <c r="F113" s="755"/>
      <c r="G113" s="125">
        <f>D113*E113*F113</f>
        <v>0</v>
      </c>
      <c r="H113" s="125">
        <v>0</v>
      </c>
      <c r="I113" s="125">
        <v>0</v>
      </c>
      <c r="J113" s="113"/>
      <c r="K113" s="113"/>
    </row>
    <row r="114" spans="1:11" ht="40.5" customHeight="1">
      <c r="A114" s="124"/>
      <c r="B114" s="750" t="s">
        <v>439</v>
      </c>
      <c r="C114" s="751"/>
      <c r="D114" s="125">
        <v>535</v>
      </c>
      <c r="E114" s="125">
        <v>26.34</v>
      </c>
      <c r="F114" s="125">
        <v>1.0092748</v>
      </c>
      <c r="G114" s="343">
        <f>D114*E114*F114-6.92</f>
        <v>14215.679554120001</v>
      </c>
      <c r="H114" s="343">
        <f>G114</f>
        <v>14215.679554120001</v>
      </c>
      <c r="I114" s="343">
        <f>H114</f>
        <v>14215.679554120001</v>
      </c>
      <c r="J114" s="113"/>
      <c r="K114" s="113"/>
    </row>
    <row r="115" spans="1:11" ht="15" customHeight="1">
      <c r="A115" s="124"/>
      <c r="B115" s="347"/>
      <c r="C115" s="348"/>
      <c r="D115" s="125">
        <f>D114</f>
        <v>535</v>
      </c>
      <c r="E115" s="125">
        <v>17.32</v>
      </c>
      <c r="F115" s="125">
        <f>F114</f>
        <v>1.0092748</v>
      </c>
      <c r="G115" s="343">
        <f>D115*E115*F115</f>
        <v>9352.1421517600011</v>
      </c>
      <c r="H115" s="343">
        <f>G115</f>
        <v>9352.1421517600011</v>
      </c>
      <c r="I115" s="343">
        <f>H115*1</f>
        <v>9352.1421517600011</v>
      </c>
      <c r="J115" s="113"/>
      <c r="K115" s="113"/>
    </row>
    <row r="116" spans="1:11" ht="36.75" hidden="1" customHeight="1">
      <c r="A116" s="124"/>
      <c r="B116" s="750" t="s">
        <v>440</v>
      </c>
      <c r="C116" s="751"/>
      <c r="D116" s="125"/>
      <c r="E116" s="125"/>
      <c r="F116" s="125"/>
      <c r="G116" s="343"/>
      <c r="H116" s="343"/>
      <c r="I116" s="343"/>
      <c r="J116" s="113"/>
      <c r="K116" s="113"/>
    </row>
    <row r="117" spans="1:11" ht="15" customHeight="1">
      <c r="A117" s="124"/>
      <c r="B117" s="347" t="s">
        <v>444</v>
      </c>
      <c r="C117" s="348"/>
      <c r="D117" s="125"/>
      <c r="E117" s="125"/>
      <c r="F117" s="125"/>
      <c r="G117" s="349">
        <f>G114+G115+G116</f>
        <v>23567.82170588</v>
      </c>
      <c r="H117" s="349">
        <f t="shared" ref="H117:I117" si="10">H114+H115+H116</f>
        <v>23567.82170588</v>
      </c>
      <c r="I117" s="349">
        <f t="shared" si="10"/>
        <v>23567.82170588</v>
      </c>
      <c r="J117" s="431"/>
      <c r="K117" s="113"/>
    </row>
    <row r="118" spans="1:11" ht="15" customHeight="1">
      <c r="A118" s="124"/>
      <c r="B118" s="752" t="s">
        <v>438</v>
      </c>
      <c r="C118" s="753"/>
      <c r="D118" s="754"/>
      <c r="E118" s="754"/>
      <c r="F118" s="755"/>
      <c r="G118" s="125">
        <v>8743.7099999999991</v>
      </c>
      <c r="H118" s="125">
        <v>0</v>
      </c>
      <c r="I118" s="125">
        <v>0</v>
      </c>
      <c r="J118" s="431"/>
      <c r="K118" s="113"/>
    </row>
    <row r="119" spans="1:11" ht="36.75" customHeight="1">
      <c r="A119" s="124"/>
      <c r="B119" s="750" t="s">
        <v>441</v>
      </c>
      <c r="C119" s="751"/>
      <c r="D119" s="125">
        <v>1.5</v>
      </c>
      <c r="E119" s="125">
        <v>1821.88</v>
      </c>
      <c r="F119" s="125">
        <v>1</v>
      </c>
      <c r="G119" s="343">
        <f>D119*E119*F119-3.93</f>
        <v>2728.8900000000003</v>
      </c>
      <c r="H119" s="343">
        <f>G119</f>
        <v>2728.8900000000003</v>
      </c>
      <c r="I119" s="343">
        <f>H119</f>
        <v>2728.8900000000003</v>
      </c>
      <c r="J119" s="113"/>
      <c r="K119" s="113"/>
    </row>
    <row r="120" spans="1:11" ht="15" customHeight="1">
      <c r="A120" s="124"/>
      <c r="B120" s="748"/>
      <c r="C120" s="749"/>
      <c r="D120" s="125">
        <v>1.88</v>
      </c>
      <c r="E120" s="125">
        <v>1859.24</v>
      </c>
      <c r="F120" s="125">
        <v>1</v>
      </c>
      <c r="G120" s="343">
        <f t="shared" ref="G120" si="11">D120*E120*F120</f>
        <v>3495.3712</v>
      </c>
      <c r="H120" s="343">
        <f>G120</f>
        <v>3495.3712</v>
      </c>
      <c r="I120" s="343">
        <f>H120</f>
        <v>3495.3712</v>
      </c>
      <c r="J120" s="113"/>
      <c r="K120" s="113"/>
    </row>
    <row r="121" spans="1:11" ht="39.75" customHeight="1">
      <c r="A121" s="124"/>
      <c r="B121" s="750" t="s">
        <v>442</v>
      </c>
      <c r="C121" s="751"/>
      <c r="D121" s="125">
        <v>18070</v>
      </c>
      <c r="E121" s="346" t="s">
        <v>443</v>
      </c>
      <c r="F121" s="125"/>
      <c r="G121" s="343">
        <v>146893.70000000001</v>
      </c>
      <c r="H121" s="343">
        <f>G121+8743.71</f>
        <v>155637.41</v>
      </c>
      <c r="I121" s="343">
        <f>H121</f>
        <v>155637.41</v>
      </c>
      <c r="J121" s="113"/>
      <c r="K121" s="113"/>
    </row>
    <row r="122" spans="1:11" ht="15" customHeight="1">
      <c r="A122" s="124"/>
      <c r="B122" s="347" t="s">
        <v>445</v>
      </c>
      <c r="C122" s="348"/>
      <c r="D122" s="125"/>
      <c r="E122" s="346"/>
      <c r="F122" s="125"/>
      <c r="G122" s="349">
        <f>G119+G120+G121+G118</f>
        <v>161861.67120000001</v>
      </c>
      <c r="H122" s="349">
        <f t="shared" ref="H122:I122" si="12">H119+H120+H121+H118</f>
        <v>161861.67120000001</v>
      </c>
      <c r="I122" s="349">
        <f t="shared" si="12"/>
        <v>161861.67120000001</v>
      </c>
      <c r="J122" s="431"/>
      <c r="K122" s="113"/>
    </row>
    <row r="123" spans="1:11" ht="15" customHeight="1">
      <c r="A123" s="166"/>
      <c r="B123" s="727" t="s">
        <v>216</v>
      </c>
      <c r="C123" s="728"/>
      <c r="D123" s="167"/>
      <c r="E123" s="167"/>
      <c r="F123" s="167"/>
      <c r="G123" s="349">
        <f>G113+G117+G122</f>
        <v>185429.49290588</v>
      </c>
      <c r="H123" s="349">
        <f>H113+H117+H122+0.01</f>
        <v>185429.50290588001</v>
      </c>
      <c r="I123" s="349">
        <f t="shared" ref="I123" si="13">I113+I117+I122</f>
        <v>185429.49290588</v>
      </c>
      <c r="J123" s="113"/>
      <c r="K123" s="113"/>
    </row>
    <row r="124" spans="1:11" hidden="1">
      <c r="A124" s="67" t="s">
        <v>255</v>
      </c>
      <c r="B124" s="117"/>
      <c r="C124" s="117"/>
      <c r="D124" s="117"/>
      <c r="E124" s="117"/>
      <c r="F124" s="117"/>
      <c r="G124" s="362"/>
      <c r="H124" s="362"/>
      <c r="I124" s="362"/>
      <c r="J124" s="117"/>
      <c r="K124" s="117"/>
    </row>
    <row r="125" spans="1:11" hidden="1">
      <c r="A125" s="18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1:11" ht="60.75" hidden="1">
      <c r="A126" s="126" t="s">
        <v>218</v>
      </c>
      <c r="B126" s="733" t="s">
        <v>0</v>
      </c>
      <c r="C126" s="734"/>
      <c r="D126" s="120" t="s">
        <v>256</v>
      </c>
      <c r="E126" s="120" t="s">
        <v>257</v>
      </c>
      <c r="F126" s="120" t="s">
        <v>258</v>
      </c>
      <c r="G126" s="120" t="s">
        <v>258</v>
      </c>
      <c r="H126" s="120" t="s">
        <v>258</v>
      </c>
      <c r="I126" s="113"/>
      <c r="J126" s="113"/>
      <c r="K126" s="113"/>
    </row>
    <row r="127" spans="1:11" hidden="1">
      <c r="A127" s="122">
        <v>1</v>
      </c>
      <c r="B127" s="725">
        <v>2</v>
      </c>
      <c r="C127" s="726"/>
      <c r="D127" s="122">
        <v>3</v>
      </c>
      <c r="E127" s="122">
        <v>4</v>
      </c>
      <c r="F127" s="122">
        <v>5</v>
      </c>
      <c r="G127" s="122">
        <v>6</v>
      </c>
      <c r="H127" s="122">
        <v>7</v>
      </c>
      <c r="I127" s="113"/>
      <c r="J127" s="113"/>
      <c r="K127" s="113"/>
    </row>
    <row r="128" spans="1:11" hidden="1">
      <c r="A128" s="124"/>
      <c r="B128" s="725"/>
      <c r="C128" s="726"/>
      <c r="D128" s="125"/>
      <c r="E128" s="125"/>
      <c r="F128" s="125"/>
      <c r="G128" s="125"/>
      <c r="H128" s="125"/>
      <c r="I128" s="113"/>
      <c r="J128" s="113"/>
      <c r="K128" s="113"/>
    </row>
    <row r="129" spans="1:11" hidden="1">
      <c r="A129" s="124"/>
      <c r="B129" s="725"/>
      <c r="C129" s="726"/>
      <c r="D129" s="125"/>
      <c r="E129" s="125"/>
      <c r="F129" s="125"/>
      <c r="G129" s="125"/>
      <c r="H129" s="125"/>
      <c r="I129" s="113"/>
      <c r="J129" s="113"/>
      <c r="K129" s="113"/>
    </row>
    <row r="130" spans="1:11" hidden="1">
      <c r="A130" s="124"/>
      <c r="B130" s="725"/>
      <c r="C130" s="726"/>
      <c r="D130" s="125"/>
      <c r="E130" s="125"/>
      <c r="F130" s="125"/>
      <c r="G130" s="125"/>
      <c r="H130" s="125"/>
      <c r="I130" s="113"/>
      <c r="J130" s="113"/>
      <c r="K130" s="113"/>
    </row>
    <row r="131" spans="1:11" hidden="1">
      <c r="A131" s="124"/>
      <c r="B131" s="725"/>
      <c r="C131" s="726"/>
      <c r="D131" s="125"/>
      <c r="E131" s="125"/>
      <c r="F131" s="125"/>
      <c r="G131" s="125"/>
      <c r="H131" s="125"/>
      <c r="I131" s="113"/>
      <c r="J131" s="113"/>
      <c r="K131" s="113"/>
    </row>
    <row r="132" spans="1:11" hidden="1">
      <c r="A132" s="124"/>
      <c r="B132" s="725"/>
      <c r="C132" s="726"/>
      <c r="D132" s="125"/>
      <c r="E132" s="125"/>
      <c r="F132" s="125"/>
      <c r="G132" s="125"/>
      <c r="H132" s="125"/>
      <c r="I132" s="113"/>
      <c r="J132" s="113"/>
      <c r="K132" s="113"/>
    </row>
    <row r="133" spans="1:11" hidden="1">
      <c r="A133" s="124"/>
      <c r="B133" s="725"/>
      <c r="C133" s="726"/>
      <c r="D133" s="125"/>
      <c r="E133" s="125"/>
      <c r="F133" s="125"/>
      <c r="G133" s="125"/>
      <c r="H133" s="125"/>
      <c r="I133" s="113"/>
      <c r="J133" s="113"/>
      <c r="K133" s="113"/>
    </row>
    <row r="134" spans="1:11" hidden="1">
      <c r="A134" s="166"/>
      <c r="B134" s="727" t="s">
        <v>216</v>
      </c>
      <c r="C134" s="728"/>
      <c r="D134" s="167"/>
      <c r="E134" s="167"/>
      <c r="F134" s="167">
        <f>SUM(F128:F133)</f>
        <v>0</v>
      </c>
      <c r="G134" s="167">
        <f t="shared" ref="G134:H134" si="14">SUM(G128:G133)</f>
        <v>0</v>
      </c>
      <c r="H134" s="167">
        <f t="shared" si="14"/>
        <v>0</v>
      </c>
      <c r="I134" s="171"/>
      <c r="J134" s="171"/>
      <c r="K134" s="171"/>
    </row>
    <row r="135" spans="1:11" hidden="1">
      <c r="A135" s="18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1:11">
      <c r="A136" s="67" t="s">
        <v>259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1:11">
      <c r="A137" s="18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1:11" ht="48.75">
      <c r="A138" s="126" t="s">
        <v>218</v>
      </c>
      <c r="B138" s="733" t="s">
        <v>0</v>
      </c>
      <c r="C138" s="734"/>
      <c r="D138" s="120" t="s">
        <v>260</v>
      </c>
      <c r="E138" s="120" t="s">
        <v>261</v>
      </c>
      <c r="F138" s="120" t="s">
        <v>303</v>
      </c>
      <c r="G138" s="120" t="s">
        <v>304</v>
      </c>
      <c r="H138" s="120" t="s">
        <v>422</v>
      </c>
      <c r="I138" s="113"/>
      <c r="J138" s="113"/>
      <c r="K138" s="113"/>
    </row>
    <row r="139" spans="1:11">
      <c r="A139" s="122">
        <v>1</v>
      </c>
      <c r="B139" s="725">
        <v>2</v>
      </c>
      <c r="C139" s="726"/>
      <c r="D139" s="122">
        <v>3</v>
      </c>
      <c r="E139" s="122">
        <v>4</v>
      </c>
      <c r="F139" s="122">
        <v>5</v>
      </c>
      <c r="G139" s="122">
        <v>6</v>
      </c>
      <c r="H139" s="122">
        <v>7</v>
      </c>
      <c r="I139" s="113"/>
      <c r="J139" s="113"/>
      <c r="K139" s="113"/>
    </row>
    <row r="140" spans="1:11" ht="31.5" customHeight="1">
      <c r="A140" s="369">
        <v>1</v>
      </c>
      <c r="B140" s="744" t="s">
        <v>554</v>
      </c>
      <c r="C140" s="745"/>
      <c r="D140" s="125">
        <v>1</v>
      </c>
      <c r="E140" s="125">
        <v>9250</v>
      </c>
      <c r="F140" s="125">
        <f t="shared" ref="F140:F141" si="15">E140*D140</f>
        <v>9250</v>
      </c>
      <c r="G140" s="125">
        <f t="shared" ref="G140:H141" si="16">F140</f>
        <v>9250</v>
      </c>
      <c r="H140" s="125">
        <f t="shared" si="16"/>
        <v>9250</v>
      </c>
      <c r="I140" s="113"/>
      <c r="J140" s="113"/>
      <c r="K140" s="113"/>
    </row>
    <row r="141" spans="1:11" hidden="1">
      <c r="A141" s="124"/>
      <c r="B141" s="756"/>
      <c r="C141" s="757"/>
      <c r="D141" s="125"/>
      <c r="E141" s="125"/>
      <c r="F141" s="125">
        <f t="shared" si="15"/>
        <v>0</v>
      </c>
      <c r="G141" s="125">
        <f t="shared" si="16"/>
        <v>0</v>
      </c>
      <c r="H141" s="125">
        <f t="shared" si="16"/>
        <v>0</v>
      </c>
      <c r="I141" s="113"/>
      <c r="J141" s="113"/>
      <c r="K141" s="113"/>
    </row>
    <row r="142" spans="1:11">
      <c r="A142" s="166"/>
      <c r="B142" s="727" t="s">
        <v>216</v>
      </c>
      <c r="C142" s="728"/>
      <c r="D142" s="167"/>
      <c r="E142" s="167"/>
      <c r="F142" s="167">
        <f>SUM(F140:F141)</f>
        <v>9250</v>
      </c>
      <c r="G142" s="167">
        <f t="shared" ref="G142:H142" si="17">SUM(G140:G141)</f>
        <v>9250</v>
      </c>
      <c r="H142" s="167">
        <f t="shared" si="17"/>
        <v>9250</v>
      </c>
      <c r="I142" s="171"/>
      <c r="J142" s="171"/>
      <c r="K142" s="171"/>
    </row>
    <row r="143" spans="1:11" ht="8.25" customHeight="1">
      <c r="A143" s="18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1:11">
      <c r="A144" s="67" t="s">
        <v>262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</row>
    <row r="145" spans="1:11" ht="12" customHeight="1">
      <c r="A145" s="18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1:11" ht="48.75">
      <c r="A146" s="126" t="s">
        <v>218</v>
      </c>
      <c r="B146" s="733" t="s">
        <v>237</v>
      </c>
      <c r="C146" s="734"/>
      <c r="D146" s="120" t="s">
        <v>260</v>
      </c>
      <c r="E146" s="120" t="s">
        <v>261</v>
      </c>
      <c r="F146" s="120" t="s">
        <v>484</v>
      </c>
      <c r="G146" s="120" t="s">
        <v>303</v>
      </c>
      <c r="H146" s="120" t="s">
        <v>304</v>
      </c>
      <c r="I146" s="113"/>
      <c r="J146" s="113"/>
      <c r="K146" s="113"/>
    </row>
    <row r="147" spans="1:11">
      <c r="A147" s="122">
        <v>1</v>
      </c>
      <c r="B147" s="725">
        <v>2</v>
      </c>
      <c r="C147" s="726"/>
      <c r="D147" s="122">
        <v>3</v>
      </c>
      <c r="E147" s="122">
        <v>4</v>
      </c>
      <c r="F147" s="122">
        <v>5</v>
      </c>
      <c r="G147" s="122">
        <v>6</v>
      </c>
      <c r="H147" s="122">
        <v>7</v>
      </c>
      <c r="I147" s="113"/>
      <c r="J147" s="113"/>
      <c r="K147" s="113"/>
    </row>
    <row r="148" spans="1:11">
      <c r="A148" s="370">
        <v>1</v>
      </c>
      <c r="B148" s="372" t="s">
        <v>555</v>
      </c>
      <c r="C148" s="351"/>
      <c r="D148" s="125">
        <v>1</v>
      </c>
      <c r="E148" s="125">
        <v>7740</v>
      </c>
      <c r="F148" s="125">
        <f t="shared" ref="F148:F155" si="18">E148*D148</f>
        <v>7740</v>
      </c>
      <c r="G148" s="125">
        <f>F148</f>
        <v>7740</v>
      </c>
      <c r="H148" s="125">
        <f t="shared" ref="G148:H155" si="19">G148</f>
        <v>7740</v>
      </c>
      <c r="I148" s="113"/>
      <c r="J148" s="113"/>
      <c r="K148" s="113"/>
    </row>
    <row r="149" spans="1:11">
      <c r="A149" s="371">
        <v>1</v>
      </c>
      <c r="B149" s="350" t="s">
        <v>556</v>
      </c>
      <c r="C149" s="351"/>
      <c r="D149" s="125">
        <v>1</v>
      </c>
      <c r="E149" s="125">
        <v>6375</v>
      </c>
      <c r="F149" s="125">
        <f>E149</f>
        <v>6375</v>
      </c>
      <c r="G149" s="125">
        <f>F149</f>
        <v>6375</v>
      </c>
      <c r="H149" s="125">
        <f t="shared" si="19"/>
        <v>6375</v>
      </c>
      <c r="I149" s="113"/>
      <c r="J149" s="113"/>
      <c r="K149" s="113"/>
    </row>
    <row r="150" spans="1:11">
      <c r="A150" s="124"/>
      <c r="B150" s="350" t="s">
        <v>557</v>
      </c>
      <c r="C150" s="332"/>
      <c r="D150" s="125">
        <v>1</v>
      </c>
      <c r="E150" s="125">
        <v>37485</v>
      </c>
      <c r="F150" s="125">
        <f>E150</f>
        <v>37485</v>
      </c>
      <c r="G150" s="125">
        <f>F150</f>
        <v>37485</v>
      </c>
      <c r="H150" s="125">
        <f t="shared" si="19"/>
        <v>37485</v>
      </c>
      <c r="I150" s="113"/>
      <c r="J150" s="356"/>
      <c r="K150" s="356"/>
    </row>
    <row r="151" spans="1:11" hidden="1">
      <c r="A151" s="124"/>
      <c r="B151" s="331"/>
      <c r="C151" s="332"/>
      <c r="D151" s="125"/>
      <c r="E151" s="125"/>
      <c r="F151" s="125">
        <f t="shared" si="18"/>
        <v>0</v>
      </c>
      <c r="G151" s="125">
        <f t="shared" si="19"/>
        <v>0</v>
      </c>
      <c r="H151" s="125">
        <f t="shared" si="19"/>
        <v>0</v>
      </c>
      <c r="I151" s="113"/>
      <c r="J151" s="113"/>
      <c r="K151" s="113"/>
    </row>
    <row r="152" spans="1:11" hidden="1">
      <c r="A152" s="124"/>
      <c r="B152" s="331"/>
      <c r="C152" s="332"/>
      <c r="D152" s="125"/>
      <c r="E152" s="125"/>
      <c r="F152" s="125">
        <f t="shared" si="18"/>
        <v>0</v>
      </c>
      <c r="G152" s="125">
        <f t="shared" si="19"/>
        <v>0</v>
      </c>
      <c r="H152" s="125">
        <f t="shared" si="19"/>
        <v>0</v>
      </c>
      <c r="I152" s="113"/>
      <c r="J152" s="113"/>
      <c r="K152" s="113"/>
    </row>
    <row r="153" spans="1:11" hidden="1">
      <c r="A153" s="124"/>
      <c r="B153" s="725"/>
      <c r="C153" s="726"/>
      <c r="D153" s="125"/>
      <c r="E153" s="125"/>
      <c r="F153" s="125">
        <f t="shared" si="18"/>
        <v>0</v>
      </c>
      <c r="G153" s="125">
        <f t="shared" si="19"/>
        <v>0</v>
      </c>
      <c r="H153" s="125">
        <f t="shared" si="19"/>
        <v>0</v>
      </c>
      <c r="I153" s="113"/>
      <c r="J153" s="113"/>
      <c r="K153" s="113"/>
    </row>
    <row r="154" spans="1:11" hidden="1">
      <c r="A154" s="124"/>
      <c r="B154" s="725"/>
      <c r="C154" s="726"/>
      <c r="D154" s="125"/>
      <c r="E154" s="125"/>
      <c r="F154" s="125">
        <f t="shared" si="18"/>
        <v>0</v>
      </c>
      <c r="G154" s="125">
        <f t="shared" si="19"/>
        <v>0</v>
      </c>
      <c r="H154" s="125">
        <f t="shared" si="19"/>
        <v>0</v>
      </c>
      <c r="I154" s="113"/>
      <c r="J154" s="113"/>
      <c r="K154" s="113"/>
    </row>
    <row r="155" spans="1:11" hidden="1">
      <c r="A155" s="124"/>
      <c r="B155" s="725"/>
      <c r="C155" s="726"/>
      <c r="D155" s="125"/>
      <c r="E155" s="125"/>
      <c r="F155" s="125">
        <f t="shared" si="18"/>
        <v>0</v>
      </c>
      <c r="G155" s="125">
        <f t="shared" si="19"/>
        <v>0</v>
      </c>
      <c r="H155" s="125">
        <f t="shared" si="19"/>
        <v>0</v>
      </c>
      <c r="I155" s="113"/>
      <c r="J155" s="113"/>
      <c r="K155" s="113"/>
    </row>
    <row r="156" spans="1:11">
      <c r="A156" s="166"/>
      <c r="B156" s="727" t="s">
        <v>216</v>
      </c>
      <c r="C156" s="728"/>
      <c r="D156" s="167"/>
      <c r="E156" s="167"/>
      <c r="F156" s="167">
        <f>SUM(F148:F155)</f>
        <v>51600</v>
      </c>
      <c r="G156" s="167">
        <f>SUM(G148:G155)</f>
        <v>51600</v>
      </c>
      <c r="H156" s="167">
        <f t="shared" ref="H156" si="20">SUM(H148:H155)</f>
        <v>51600</v>
      </c>
      <c r="I156" s="171"/>
      <c r="J156" s="171"/>
      <c r="K156" s="171"/>
    </row>
    <row r="157" spans="1:11" ht="5.25" customHeight="1">
      <c r="A157" s="18"/>
      <c r="B157" s="113"/>
      <c r="C157" s="113"/>
      <c r="D157" s="113"/>
      <c r="E157" s="373"/>
      <c r="F157" s="374"/>
      <c r="G157" s="374"/>
      <c r="H157" s="375"/>
      <c r="I157" s="113"/>
      <c r="J157" s="113"/>
      <c r="K157" s="113"/>
    </row>
    <row r="158" spans="1:11">
      <c r="A158" s="67" t="s">
        <v>263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1:11" ht="8.25" customHeight="1">
      <c r="A159" s="18"/>
      <c r="B159" s="113"/>
      <c r="C159" s="113"/>
      <c r="D159" s="113"/>
      <c r="E159" s="113"/>
      <c r="F159" s="113"/>
      <c r="G159" s="356"/>
      <c r="H159" s="113"/>
      <c r="I159" s="113"/>
      <c r="J159" s="113"/>
      <c r="K159" s="113"/>
    </row>
    <row r="160" spans="1:11" ht="36.75">
      <c r="A160" s="126" t="s">
        <v>218</v>
      </c>
      <c r="B160" s="733" t="s">
        <v>237</v>
      </c>
      <c r="C160" s="734"/>
      <c r="D160" s="120" t="s">
        <v>256</v>
      </c>
      <c r="E160" s="120" t="s">
        <v>261</v>
      </c>
      <c r="F160" s="120" t="s">
        <v>484</v>
      </c>
      <c r="G160" s="120"/>
      <c r="H160" s="120" t="s">
        <v>304</v>
      </c>
      <c r="I160" s="113"/>
      <c r="J160" s="113"/>
      <c r="K160" s="113"/>
    </row>
    <row r="161" spans="1:11">
      <c r="A161" s="122">
        <v>1</v>
      </c>
      <c r="B161" s="725">
        <v>2</v>
      </c>
      <c r="C161" s="726"/>
      <c r="D161" s="122">
        <v>3</v>
      </c>
      <c r="E161" s="122">
        <v>4</v>
      </c>
      <c r="F161" s="122">
        <v>5</v>
      </c>
      <c r="G161" s="122">
        <v>6</v>
      </c>
      <c r="H161" s="122">
        <v>7</v>
      </c>
      <c r="I161" s="113"/>
      <c r="J161" s="113"/>
      <c r="K161" s="113"/>
    </row>
    <row r="162" spans="1:11" hidden="1">
      <c r="A162" s="122"/>
      <c r="B162" s="331"/>
      <c r="C162" s="332"/>
      <c r="D162" s="122"/>
      <c r="E162" s="122"/>
      <c r="F162" s="122"/>
      <c r="G162" s="122"/>
      <c r="H162" s="122"/>
      <c r="I162" s="113"/>
      <c r="J162" s="113"/>
      <c r="K162" s="113"/>
    </row>
    <row r="163" spans="1:11" hidden="1">
      <c r="A163" s="122"/>
      <c r="B163" s="331"/>
      <c r="C163" s="332"/>
      <c r="D163" s="122"/>
      <c r="E163" s="122"/>
      <c r="F163" s="122"/>
      <c r="G163" s="122"/>
      <c r="H163" s="122"/>
      <c r="I163" s="113"/>
      <c r="J163" s="113"/>
      <c r="K163" s="113"/>
    </row>
    <row r="164" spans="1:11" hidden="1">
      <c r="A164" s="122"/>
      <c r="B164" s="331"/>
      <c r="C164" s="332"/>
      <c r="D164" s="122"/>
      <c r="E164" s="122"/>
      <c r="F164" s="122"/>
      <c r="G164" s="122"/>
      <c r="H164" s="122"/>
      <c r="I164" s="113"/>
      <c r="J164" s="113"/>
      <c r="K164" s="113"/>
    </row>
    <row r="165" spans="1:11" hidden="1">
      <c r="A165" s="122"/>
      <c r="B165" s="331"/>
      <c r="C165" s="332"/>
      <c r="D165" s="122"/>
      <c r="E165" s="122"/>
      <c r="F165" s="122"/>
      <c r="G165" s="122"/>
      <c r="H165" s="122"/>
      <c r="I165" s="113"/>
      <c r="J165" s="113"/>
      <c r="K165" s="113"/>
    </row>
    <row r="166" spans="1:11" hidden="1">
      <c r="A166" s="122"/>
      <c r="B166" s="331"/>
      <c r="C166" s="332"/>
      <c r="D166" s="122"/>
      <c r="E166" s="122"/>
      <c r="F166" s="122"/>
      <c r="G166" s="122"/>
      <c r="H166" s="122"/>
      <c r="I166" s="113"/>
      <c r="J166" s="113"/>
      <c r="K166" s="113"/>
    </row>
    <row r="167" spans="1:11" hidden="1">
      <c r="A167" s="122"/>
      <c r="B167" s="331"/>
      <c r="C167" s="332"/>
      <c r="D167" s="122"/>
      <c r="E167" s="122"/>
      <c r="F167" s="122"/>
      <c r="G167" s="122"/>
      <c r="H167" s="122"/>
      <c r="I167" s="113"/>
      <c r="J167" s="113"/>
      <c r="K167" s="113"/>
    </row>
    <row r="168" spans="1:11" hidden="1">
      <c r="A168" s="122"/>
      <c r="B168" s="331"/>
      <c r="C168" s="332"/>
      <c r="D168" s="122"/>
      <c r="E168" s="122"/>
      <c r="F168" s="122"/>
      <c r="G168" s="122"/>
      <c r="H168" s="122"/>
      <c r="I168" s="113"/>
      <c r="J168" s="113"/>
      <c r="K168" s="113"/>
    </row>
    <row r="169" spans="1:11" hidden="1">
      <c r="A169" s="122"/>
      <c r="B169" s="331"/>
      <c r="C169" s="332"/>
      <c r="D169" s="122"/>
      <c r="E169" s="122"/>
      <c r="F169" s="122"/>
      <c r="G169" s="122"/>
      <c r="H169" s="122"/>
      <c r="I169" s="113"/>
      <c r="J169" s="113"/>
      <c r="K169" s="113"/>
    </row>
    <row r="170" spans="1:11" hidden="1">
      <c r="A170" s="122"/>
      <c r="B170" s="331"/>
      <c r="C170" s="332"/>
      <c r="D170" s="122"/>
      <c r="E170" s="122"/>
      <c r="F170" s="122"/>
      <c r="G170" s="122"/>
      <c r="H170" s="122"/>
      <c r="I170" s="113"/>
      <c r="J170" s="113"/>
      <c r="K170" s="113"/>
    </row>
    <row r="171" spans="1:11" hidden="1">
      <c r="A171" s="122"/>
      <c r="B171" s="331"/>
      <c r="C171" s="332"/>
      <c r="D171" s="122"/>
      <c r="E171" s="122"/>
      <c r="F171" s="122"/>
      <c r="G171" s="122"/>
      <c r="H171" s="122"/>
      <c r="I171" s="113"/>
      <c r="J171" s="113"/>
      <c r="K171" s="113"/>
    </row>
    <row r="172" spans="1:11" hidden="1">
      <c r="A172" s="122"/>
      <c r="B172" s="331"/>
      <c r="C172" s="332"/>
      <c r="D172" s="122"/>
      <c r="E172" s="122"/>
      <c r="F172" s="122"/>
      <c r="G172" s="122"/>
      <c r="H172" s="122"/>
      <c r="I172" s="113"/>
      <c r="J172" s="113"/>
      <c r="K172" s="113"/>
    </row>
    <row r="173" spans="1:11" hidden="1">
      <c r="A173" s="122"/>
      <c r="B173" s="331"/>
      <c r="C173" s="332"/>
      <c r="D173" s="122"/>
      <c r="E173" s="122"/>
      <c r="F173" s="122"/>
      <c r="G173" s="122"/>
      <c r="H173" s="122"/>
      <c r="I173" s="113"/>
      <c r="J173" s="113"/>
      <c r="K173" s="113"/>
    </row>
    <row r="174" spans="1:11" hidden="1">
      <c r="A174" s="122"/>
      <c r="B174" s="331"/>
      <c r="C174" s="332"/>
      <c r="D174" s="122"/>
      <c r="E174" s="122"/>
      <c r="F174" s="122"/>
      <c r="G174" s="122"/>
      <c r="H174" s="122"/>
      <c r="I174" s="113"/>
      <c r="J174" s="113"/>
      <c r="K174" s="113"/>
    </row>
    <row r="175" spans="1:11" hidden="1">
      <c r="A175" s="122"/>
      <c r="B175" s="331"/>
      <c r="C175" s="332"/>
      <c r="D175" s="122"/>
      <c r="E175" s="122"/>
      <c r="F175" s="122"/>
      <c r="G175" s="122"/>
      <c r="H175" s="122"/>
      <c r="I175" s="113"/>
      <c r="J175" s="113"/>
      <c r="K175" s="113"/>
    </row>
    <row r="176" spans="1:11" hidden="1">
      <c r="A176" s="122"/>
      <c r="B176" s="331"/>
      <c r="C176" s="332"/>
      <c r="D176" s="122"/>
      <c r="E176" s="122"/>
      <c r="F176" s="122"/>
      <c r="G176" s="122"/>
      <c r="H176" s="122"/>
      <c r="I176" s="113"/>
      <c r="J176" s="113"/>
      <c r="K176" s="113"/>
    </row>
    <row r="177" spans="1:11" hidden="1">
      <c r="A177" s="122"/>
      <c r="B177" s="331"/>
      <c r="C177" s="332"/>
      <c r="D177" s="122"/>
      <c r="E177" s="122"/>
      <c r="F177" s="122"/>
      <c r="G177" s="122"/>
      <c r="H177" s="122"/>
      <c r="I177" s="113"/>
      <c r="J177" s="113"/>
      <c r="K177" s="113"/>
    </row>
    <row r="178" spans="1:11" hidden="1">
      <c r="A178" s="122"/>
      <c r="B178" s="331"/>
      <c r="C178" s="332"/>
      <c r="D178" s="122"/>
      <c r="E178" s="122"/>
      <c r="F178" s="122"/>
      <c r="G178" s="122"/>
      <c r="H178" s="122"/>
      <c r="I178" s="113"/>
      <c r="J178" s="113"/>
      <c r="K178" s="113"/>
    </row>
    <row r="179" spans="1:11" hidden="1">
      <c r="A179" s="122"/>
      <c r="B179" s="331"/>
      <c r="C179" s="332"/>
      <c r="D179" s="122"/>
      <c r="E179" s="122"/>
      <c r="F179" s="122"/>
      <c r="G179" s="122"/>
      <c r="H179" s="122"/>
      <c r="I179" s="113"/>
      <c r="J179" s="113"/>
      <c r="K179" s="113"/>
    </row>
    <row r="180" spans="1:11" hidden="1">
      <c r="A180" s="122"/>
      <c r="B180" s="331"/>
      <c r="C180" s="332"/>
      <c r="D180" s="122"/>
      <c r="E180" s="122"/>
      <c r="F180" s="122"/>
      <c r="G180" s="122"/>
      <c r="H180" s="122"/>
      <c r="I180" s="113"/>
      <c r="J180" s="113"/>
      <c r="K180" s="113"/>
    </row>
    <row r="181" spans="1:11" hidden="1">
      <c r="A181" s="122"/>
      <c r="B181" s="331"/>
      <c r="C181" s="332"/>
      <c r="D181" s="122"/>
      <c r="E181" s="122"/>
      <c r="F181" s="122"/>
      <c r="G181" s="122"/>
      <c r="H181" s="122"/>
      <c r="I181" s="113"/>
      <c r="J181" s="113"/>
      <c r="K181" s="113"/>
    </row>
    <row r="182" spans="1:11">
      <c r="A182" s="429">
        <v>1</v>
      </c>
      <c r="B182" s="372" t="s">
        <v>558</v>
      </c>
      <c r="C182" s="332"/>
      <c r="D182" s="122">
        <v>1</v>
      </c>
      <c r="E182" s="122">
        <v>13560</v>
      </c>
      <c r="F182" s="122">
        <f>E182</f>
        <v>13560</v>
      </c>
      <c r="G182" s="122">
        <f>F182</f>
        <v>13560</v>
      </c>
      <c r="H182" s="122">
        <f>G182</f>
        <v>13560</v>
      </c>
      <c r="I182" s="113"/>
      <c r="J182" s="113"/>
      <c r="K182" s="113"/>
    </row>
    <row r="183" spans="1:11">
      <c r="A183" s="430">
        <v>2</v>
      </c>
      <c r="B183" s="372" t="s">
        <v>473</v>
      </c>
      <c r="C183" s="355"/>
      <c r="D183" s="122">
        <v>1</v>
      </c>
      <c r="E183" s="122">
        <v>3835</v>
      </c>
      <c r="F183" s="122">
        <f t="shared" ref="F183:F202" si="21">D183*E183</f>
        <v>3835</v>
      </c>
      <c r="G183" s="122">
        <f t="shared" ref="G183:H199" si="22">F183</f>
        <v>3835</v>
      </c>
      <c r="H183" s="122">
        <f>G183</f>
        <v>3835</v>
      </c>
      <c r="I183" s="113"/>
      <c r="J183" s="113"/>
      <c r="K183" s="113"/>
    </row>
    <row r="184" spans="1:11" hidden="1">
      <c r="A184" s="377"/>
      <c r="B184" s="331"/>
      <c r="C184" s="332"/>
      <c r="D184" s="125"/>
      <c r="E184" s="125"/>
      <c r="F184" s="125">
        <f t="shared" si="21"/>
        <v>0</v>
      </c>
      <c r="G184" s="125">
        <f t="shared" si="22"/>
        <v>0</v>
      </c>
      <c r="H184" s="125">
        <f t="shared" si="22"/>
        <v>0</v>
      </c>
      <c r="I184" s="113"/>
      <c r="J184" s="113"/>
      <c r="K184" s="113"/>
    </row>
    <row r="185" spans="1:11" hidden="1">
      <c r="A185" s="377"/>
      <c r="B185" s="331"/>
      <c r="C185" s="332"/>
      <c r="D185" s="125"/>
      <c r="E185" s="125"/>
      <c r="F185" s="125">
        <f t="shared" si="21"/>
        <v>0</v>
      </c>
      <c r="G185" s="125">
        <f t="shared" si="22"/>
        <v>0</v>
      </c>
      <c r="H185" s="125">
        <f t="shared" si="22"/>
        <v>0</v>
      </c>
      <c r="I185" s="113"/>
      <c r="J185" s="113"/>
      <c r="K185" s="113"/>
    </row>
    <row r="186" spans="1:11" hidden="1">
      <c r="A186" s="130"/>
      <c r="B186" s="331"/>
      <c r="C186" s="332"/>
      <c r="D186" s="125"/>
      <c r="E186" s="125"/>
      <c r="F186" s="125">
        <f t="shared" si="21"/>
        <v>0</v>
      </c>
      <c r="G186" s="125">
        <f t="shared" si="22"/>
        <v>0</v>
      </c>
      <c r="H186" s="125">
        <f t="shared" si="22"/>
        <v>0</v>
      </c>
      <c r="I186" s="113"/>
      <c r="J186" s="113"/>
      <c r="K186" s="113"/>
    </row>
    <row r="187" spans="1:11" hidden="1">
      <c r="A187" s="130"/>
      <c r="B187" s="331"/>
      <c r="C187" s="332"/>
      <c r="D187" s="125"/>
      <c r="E187" s="125"/>
      <c r="F187" s="125">
        <f t="shared" si="21"/>
        <v>0</v>
      </c>
      <c r="G187" s="125">
        <f t="shared" si="22"/>
        <v>0</v>
      </c>
      <c r="H187" s="125">
        <f t="shared" si="22"/>
        <v>0</v>
      </c>
      <c r="I187" s="113"/>
      <c r="J187" s="113"/>
      <c r="K187" s="113"/>
    </row>
    <row r="188" spans="1:11" hidden="1">
      <c r="A188" s="130"/>
      <c r="B188" s="331"/>
      <c r="C188" s="332"/>
      <c r="D188" s="125"/>
      <c r="E188" s="125"/>
      <c r="F188" s="125">
        <f t="shared" si="21"/>
        <v>0</v>
      </c>
      <c r="G188" s="125">
        <f t="shared" si="22"/>
        <v>0</v>
      </c>
      <c r="H188" s="125">
        <f t="shared" si="22"/>
        <v>0</v>
      </c>
      <c r="I188" s="113"/>
      <c r="J188" s="113"/>
      <c r="K188" s="113"/>
    </row>
    <row r="189" spans="1:11" hidden="1">
      <c r="A189" s="130"/>
      <c r="B189" s="331"/>
      <c r="C189" s="332"/>
      <c r="D189" s="125"/>
      <c r="E189" s="125"/>
      <c r="F189" s="125">
        <f t="shared" si="21"/>
        <v>0</v>
      </c>
      <c r="G189" s="125">
        <f t="shared" si="22"/>
        <v>0</v>
      </c>
      <c r="H189" s="125">
        <f t="shared" si="22"/>
        <v>0</v>
      </c>
      <c r="I189" s="113"/>
      <c r="J189" s="113"/>
      <c r="K189" s="113"/>
    </row>
    <row r="190" spans="1:11" hidden="1">
      <c r="A190" s="130"/>
      <c r="B190" s="331"/>
      <c r="C190" s="332"/>
      <c r="D190" s="125"/>
      <c r="E190" s="125"/>
      <c r="F190" s="125">
        <f t="shared" si="21"/>
        <v>0</v>
      </c>
      <c r="G190" s="125">
        <f t="shared" si="22"/>
        <v>0</v>
      </c>
      <c r="H190" s="125">
        <f t="shared" si="22"/>
        <v>0</v>
      </c>
      <c r="I190" s="113"/>
      <c r="J190" s="113"/>
      <c r="K190" s="113"/>
    </row>
    <row r="191" spans="1:11" hidden="1">
      <c r="A191" s="130"/>
      <c r="B191" s="331"/>
      <c r="C191" s="332"/>
      <c r="D191" s="125"/>
      <c r="E191" s="125"/>
      <c r="F191" s="125">
        <f t="shared" si="21"/>
        <v>0</v>
      </c>
      <c r="G191" s="125">
        <f t="shared" si="22"/>
        <v>0</v>
      </c>
      <c r="H191" s="125">
        <f t="shared" si="22"/>
        <v>0</v>
      </c>
      <c r="I191" s="113"/>
      <c r="J191" s="113"/>
      <c r="K191" s="113"/>
    </row>
    <row r="192" spans="1:11" hidden="1">
      <c r="A192" s="130"/>
      <c r="B192" s="331"/>
      <c r="C192" s="332"/>
      <c r="D192" s="125"/>
      <c r="E192" s="125"/>
      <c r="F192" s="125">
        <f t="shared" si="21"/>
        <v>0</v>
      </c>
      <c r="G192" s="125">
        <f t="shared" si="22"/>
        <v>0</v>
      </c>
      <c r="H192" s="125">
        <f t="shared" si="22"/>
        <v>0</v>
      </c>
      <c r="I192" s="113"/>
      <c r="J192" s="113"/>
      <c r="K192" s="113"/>
    </row>
    <row r="193" spans="1:11" hidden="1">
      <c r="A193" s="130"/>
      <c r="B193" s="331"/>
      <c r="C193" s="332"/>
      <c r="D193" s="125"/>
      <c r="E193" s="125"/>
      <c r="F193" s="125">
        <f t="shared" si="21"/>
        <v>0</v>
      </c>
      <c r="G193" s="125">
        <f t="shared" si="22"/>
        <v>0</v>
      </c>
      <c r="H193" s="125">
        <f t="shared" si="22"/>
        <v>0</v>
      </c>
      <c r="I193" s="113"/>
      <c r="J193" s="113"/>
      <c r="K193" s="113"/>
    </row>
    <row r="194" spans="1:11" hidden="1">
      <c r="A194" s="130"/>
      <c r="B194" s="331"/>
      <c r="C194" s="332"/>
      <c r="D194" s="125"/>
      <c r="E194" s="125"/>
      <c r="F194" s="125">
        <f t="shared" si="21"/>
        <v>0</v>
      </c>
      <c r="G194" s="125">
        <f t="shared" si="22"/>
        <v>0</v>
      </c>
      <c r="H194" s="125">
        <f t="shared" si="22"/>
        <v>0</v>
      </c>
      <c r="I194" s="113"/>
      <c r="J194" s="113"/>
      <c r="K194" s="113"/>
    </row>
    <row r="195" spans="1:11" hidden="1">
      <c r="A195" s="130"/>
      <c r="B195" s="331"/>
      <c r="C195" s="332"/>
      <c r="D195" s="125"/>
      <c r="E195" s="125"/>
      <c r="F195" s="125">
        <f t="shared" si="21"/>
        <v>0</v>
      </c>
      <c r="G195" s="125">
        <f t="shared" si="22"/>
        <v>0</v>
      </c>
      <c r="H195" s="125">
        <f t="shared" si="22"/>
        <v>0</v>
      </c>
      <c r="I195" s="113"/>
      <c r="J195" s="113"/>
      <c r="K195" s="113"/>
    </row>
    <row r="196" spans="1:11" hidden="1">
      <c r="A196" s="130"/>
      <c r="B196" s="331"/>
      <c r="C196" s="332"/>
      <c r="D196" s="125"/>
      <c r="E196" s="125"/>
      <c r="F196" s="125">
        <f t="shared" si="21"/>
        <v>0</v>
      </c>
      <c r="G196" s="125">
        <f t="shared" si="22"/>
        <v>0</v>
      </c>
      <c r="H196" s="125">
        <f t="shared" si="22"/>
        <v>0</v>
      </c>
      <c r="I196" s="113"/>
      <c r="J196" s="113"/>
      <c r="K196" s="113"/>
    </row>
    <row r="197" spans="1:11" hidden="1">
      <c r="A197" s="130"/>
      <c r="B197" s="331"/>
      <c r="C197" s="332"/>
      <c r="D197" s="125"/>
      <c r="E197" s="125"/>
      <c r="F197" s="125">
        <f t="shared" si="21"/>
        <v>0</v>
      </c>
      <c r="G197" s="125">
        <f t="shared" si="22"/>
        <v>0</v>
      </c>
      <c r="H197" s="125">
        <f t="shared" si="22"/>
        <v>0</v>
      </c>
      <c r="I197" s="113"/>
      <c r="J197" s="113"/>
      <c r="K197" s="113"/>
    </row>
    <row r="198" spans="1:11" hidden="1">
      <c r="A198" s="130"/>
      <c r="B198" s="331"/>
      <c r="C198" s="332"/>
      <c r="D198" s="125"/>
      <c r="E198" s="125"/>
      <c r="F198" s="125">
        <f t="shared" si="21"/>
        <v>0</v>
      </c>
      <c r="G198" s="125">
        <f t="shared" si="22"/>
        <v>0</v>
      </c>
      <c r="H198" s="125">
        <f t="shared" si="22"/>
        <v>0</v>
      </c>
      <c r="I198" s="113"/>
      <c r="J198" s="113"/>
      <c r="K198" s="113"/>
    </row>
    <row r="199" spans="1:11" hidden="1">
      <c r="A199" s="124"/>
      <c r="B199" s="725"/>
      <c r="C199" s="726"/>
      <c r="D199" s="125"/>
      <c r="E199" s="125"/>
      <c r="F199" s="125">
        <f t="shared" si="21"/>
        <v>0</v>
      </c>
      <c r="G199" s="125">
        <f t="shared" si="22"/>
        <v>0</v>
      </c>
      <c r="H199" s="125">
        <f t="shared" si="22"/>
        <v>0</v>
      </c>
      <c r="I199" s="113"/>
      <c r="J199" s="113"/>
      <c r="K199" s="113"/>
    </row>
    <row r="200" spans="1:11" hidden="1">
      <c r="A200" s="124"/>
      <c r="B200" s="725"/>
      <c r="C200" s="726"/>
      <c r="D200" s="125"/>
      <c r="E200" s="125"/>
      <c r="F200" s="125">
        <f t="shared" si="21"/>
        <v>0</v>
      </c>
      <c r="G200" s="125"/>
      <c r="H200" s="125">
        <f t="shared" ref="H200" si="23">G200</f>
        <v>0</v>
      </c>
      <c r="I200" s="113"/>
      <c r="J200" s="113"/>
      <c r="K200" s="113"/>
    </row>
    <row r="201" spans="1:11" hidden="1">
      <c r="A201" s="124"/>
      <c r="B201" s="725"/>
      <c r="C201" s="726"/>
      <c r="D201" s="125"/>
      <c r="E201" s="125"/>
      <c r="F201" s="125">
        <f t="shared" si="21"/>
        <v>0</v>
      </c>
      <c r="G201" s="125"/>
      <c r="H201" s="125"/>
      <c r="I201" s="113"/>
      <c r="J201" s="113"/>
      <c r="K201" s="113"/>
    </row>
    <row r="202" spans="1:11" hidden="1">
      <c r="A202" s="124"/>
      <c r="B202" s="725"/>
      <c r="C202" s="726"/>
      <c r="D202" s="125"/>
      <c r="E202" s="125"/>
      <c r="F202" s="125">
        <f t="shared" si="21"/>
        <v>0</v>
      </c>
      <c r="G202" s="125"/>
      <c r="H202" s="125"/>
      <c r="I202" s="113"/>
      <c r="J202" s="113"/>
      <c r="K202" s="113"/>
    </row>
    <row r="203" spans="1:11">
      <c r="A203" s="166"/>
      <c r="B203" s="727" t="s">
        <v>216</v>
      </c>
      <c r="C203" s="728"/>
      <c r="D203" s="167"/>
      <c r="E203" s="167"/>
      <c r="F203" s="167">
        <f>SUM(F182:F202)</f>
        <v>17395</v>
      </c>
      <c r="G203" s="167">
        <f>SUM(G182:G202)</f>
        <v>17395</v>
      </c>
      <c r="H203" s="167">
        <f>SUM(H182:H202)</f>
        <v>17395</v>
      </c>
      <c r="I203" s="171"/>
      <c r="J203" s="171"/>
      <c r="K203" s="171"/>
    </row>
    <row r="204" spans="1:11" ht="15.75" thickBot="1">
      <c r="A204" s="18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1:11" ht="15.75" thickBot="1">
      <c r="A205" s="131"/>
      <c r="B205" s="729" t="s">
        <v>264</v>
      </c>
      <c r="C205" s="730"/>
      <c r="D205" s="730"/>
      <c r="E205" s="731"/>
      <c r="F205" s="175">
        <f>I21+F46+F70+G95+G123+F142+F156+F203</f>
        <v>489435.49290587998</v>
      </c>
      <c r="G205" s="175">
        <f>J21+G46+G70+H95+H123+G142+G156+G203</f>
        <v>489435.50290587998</v>
      </c>
      <c r="H205" s="175">
        <f>K21+H46+H70+I95+I123+H142+H156+H203</f>
        <v>489435.49290587998</v>
      </c>
      <c r="I205" s="113"/>
      <c r="J205" s="113"/>
      <c r="K205" s="113"/>
    </row>
    <row r="206" spans="1:11">
      <c r="A206" s="18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1:11">
      <c r="A207" s="732" t="s">
        <v>179</v>
      </c>
      <c r="B207" s="732"/>
      <c r="C207" s="732"/>
      <c r="D207" s="378" t="s">
        <v>492</v>
      </c>
      <c r="E207" s="379"/>
      <c r="F207" s="378"/>
      <c r="G207" s="379"/>
      <c r="H207" s="378" t="s">
        <v>559</v>
      </c>
      <c r="I207" s="326"/>
      <c r="J207" s="132"/>
      <c r="K207" s="132"/>
    </row>
    <row r="208" spans="1:11">
      <c r="A208" s="732" t="s">
        <v>180</v>
      </c>
      <c r="B208" s="732"/>
      <c r="C208" s="732"/>
      <c r="D208" s="134" t="s">
        <v>265</v>
      </c>
      <c r="E208" s="135"/>
      <c r="F208" s="134" t="s">
        <v>266</v>
      </c>
      <c r="G208" s="135"/>
      <c r="H208" s="330" t="s">
        <v>267</v>
      </c>
      <c r="I208" s="330"/>
      <c r="J208" s="135"/>
      <c r="K208" s="135"/>
    </row>
    <row r="209" spans="1:11">
      <c r="A209" s="329"/>
      <c r="B209" s="333"/>
      <c r="C209" s="333"/>
      <c r="D209" s="333"/>
      <c r="E209" s="333"/>
      <c r="F209" s="333"/>
      <c r="G209" s="333"/>
      <c r="H209" s="333"/>
      <c r="I209" s="333"/>
      <c r="J209" s="333"/>
      <c r="K209" s="333"/>
    </row>
    <row r="210" spans="1:11">
      <c r="A210" s="723" t="s">
        <v>182</v>
      </c>
      <c r="B210" s="723"/>
      <c r="C210" s="359" t="s">
        <v>476</v>
      </c>
      <c r="D210" s="360"/>
      <c r="E210" s="359" t="s">
        <v>477</v>
      </c>
      <c r="F210" s="132"/>
      <c r="G210" s="326"/>
      <c r="H210" s="326"/>
      <c r="I210" s="333"/>
      <c r="J210" s="333"/>
      <c r="K210" s="333"/>
    </row>
    <row r="211" spans="1:11">
      <c r="A211" s="333"/>
      <c r="B211" s="333"/>
      <c r="C211" s="134" t="s">
        <v>268</v>
      </c>
      <c r="D211" s="135"/>
      <c r="E211" s="330" t="s">
        <v>183</v>
      </c>
      <c r="F211" s="135"/>
      <c r="G211" s="724" t="s">
        <v>184</v>
      </c>
      <c r="H211" s="724"/>
      <c r="I211" s="333"/>
      <c r="J211" s="333"/>
      <c r="K211" s="333"/>
    </row>
    <row r="212" spans="1:11">
      <c r="A212" s="333"/>
      <c r="B212" s="333"/>
      <c r="C212" s="333"/>
      <c r="D212" s="333"/>
      <c r="E212" s="333"/>
      <c r="F212" s="333"/>
      <c r="G212" s="333"/>
      <c r="H212" s="333"/>
      <c r="I212" s="333"/>
      <c r="J212" s="333"/>
      <c r="K212" s="333"/>
    </row>
    <row r="213" spans="1:11">
      <c r="A213" s="723" t="s">
        <v>574</v>
      </c>
      <c r="B213" s="723"/>
      <c r="C213" s="723"/>
      <c r="D213" s="723"/>
      <c r="E213" s="723"/>
      <c r="F213" s="333"/>
      <c r="G213" s="333"/>
      <c r="H213" s="333"/>
      <c r="I213" s="333"/>
      <c r="J213" s="333"/>
      <c r="K213" s="333"/>
    </row>
  </sheetData>
  <mergeCells count="111">
    <mergeCell ref="J13:J15"/>
    <mergeCell ref="K13:K15"/>
    <mergeCell ref="D14:D15"/>
    <mergeCell ref="A35:H35"/>
    <mergeCell ref="B37:D37"/>
    <mergeCell ref="B38:D38"/>
    <mergeCell ref="A1:K1"/>
    <mergeCell ref="A4:K4"/>
    <mergeCell ref="A6:B6"/>
    <mergeCell ref="A8:C8"/>
    <mergeCell ref="A13:A15"/>
    <mergeCell ref="B13:B15"/>
    <mergeCell ref="C13:C15"/>
    <mergeCell ref="D13:G13"/>
    <mergeCell ref="H13:H15"/>
    <mergeCell ref="I13:I15"/>
    <mergeCell ref="B45:D45"/>
    <mergeCell ref="B46:D46"/>
    <mergeCell ref="B50:C50"/>
    <mergeCell ref="B51:C51"/>
    <mergeCell ref="B52:C52"/>
    <mergeCell ref="B53:C53"/>
    <mergeCell ref="B39:D39"/>
    <mergeCell ref="B40:D40"/>
    <mergeCell ref="B41:D41"/>
    <mergeCell ref="B42:D42"/>
    <mergeCell ref="B43:D43"/>
    <mergeCell ref="B44:D44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62:C62"/>
    <mergeCell ref="B77:C77"/>
    <mergeCell ref="B78:C78"/>
    <mergeCell ref="B79:C79"/>
    <mergeCell ref="B80:C80"/>
    <mergeCell ref="B81:C81"/>
    <mergeCell ref="B82:C82"/>
    <mergeCell ref="B69:C69"/>
    <mergeCell ref="B70:C70"/>
    <mergeCell ref="A72:H72"/>
    <mergeCell ref="B74:C74"/>
    <mergeCell ref="B75:C75"/>
    <mergeCell ref="B76:C76"/>
    <mergeCell ref="B95:C95"/>
    <mergeCell ref="B99:C99"/>
    <mergeCell ref="B100:C100"/>
    <mergeCell ref="B101:C101"/>
    <mergeCell ref="B102:C102"/>
    <mergeCell ref="B103:C103"/>
    <mergeCell ref="B87:C87"/>
    <mergeCell ref="B88:C88"/>
    <mergeCell ref="B89:C89"/>
    <mergeCell ref="B90:C90"/>
    <mergeCell ref="B93:C93"/>
    <mergeCell ref="B94:C94"/>
    <mergeCell ref="B121:C121"/>
    <mergeCell ref="B123:C123"/>
    <mergeCell ref="B126:C126"/>
    <mergeCell ref="B113:F113"/>
    <mergeCell ref="B118:F118"/>
    <mergeCell ref="B104:C104"/>
    <mergeCell ref="B105:C105"/>
    <mergeCell ref="B106:C106"/>
    <mergeCell ref="B107:C107"/>
    <mergeCell ref="B111:C111"/>
    <mergeCell ref="B112:C112"/>
    <mergeCell ref="B133:C133"/>
    <mergeCell ref="B134:C134"/>
    <mergeCell ref="B138:C138"/>
    <mergeCell ref="B139:C139"/>
    <mergeCell ref="B140:C140"/>
    <mergeCell ref="B141:C141"/>
    <mergeCell ref="B127:C127"/>
    <mergeCell ref="B128:C128"/>
    <mergeCell ref="B129:C129"/>
    <mergeCell ref="B130:C130"/>
    <mergeCell ref="B131:C131"/>
    <mergeCell ref="B132:C132"/>
    <mergeCell ref="G211:H211"/>
    <mergeCell ref="A213:E213"/>
    <mergeCell ref="B120:C120"/>
    <mergeCell ref="B114:C114"/>
    <mergeCell ref="B116:C116"/>
    <mergeCell ref="B119:C119"/>
    <mergeCell ref="B202:C202"/>
    <mergeCell ref="B203:C203"/>
    <mergeCell ref="B205:E205"/>
    <mergeCell ref="A207:C207"/>
    <mergeCell ref="A208:C208"/>
    <mergeCell ref="A210:B210"/>
    <mergeCell ref="B156:C156"/>
    <mergeCell ref="B160:C160"/>
    <mergeCell ref="B161:C161"/>
    <mergeCell ref="B199:C199"/>
    <mergeCell ref="B200:C200"/>
    <mergeCell ref="B201:C201"/>
    <mergeCell ref="B142:C142"/>
    <mergeCell ref="B146:C146"/>
    <mergeCell ref="B147:C147"/>
    <mergeCell ref="B153:C153"/>
    <mergeCell ref="B154:C154"/>
    <mergeCell ref="B155:C155"/>
  </mergeCells>
  <pageMargins left="0.23622047244094491" right="0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S315"/>
  <sheetViews>
    <sheetView topLeftCell="B37" zoomScale="110" zoomScaleNormal="110" workbookViewId="0">
      <selection activeCell="K138" sqref="K138"/>
    </sheetView>
  </sheetViews>
  <sheetFormatPr defaultRowHeight="15"/>
  <cols>
    <col min="1" max="1" width="9.140625" style="42"/>
    <col min="2" max="9" width="9.140625" style="18"/>
    <col min="10" max="10" width="14.7109375" style="18" customWidth="1"/>
    <col min="11" max="14" width="10.5703125" style="18" customWidth="1"/>
    <col min="15" max="15" width="12.28515625" style="84" customWidth="1"/>
    <col min="16" max="16" width="11.140625" style="84" customWidth="1"/>
    <col min="17" max="17" width="12.28515625" style="84" customWidth="1"/>
    <col min="18" max="18" width="11.140625" style="42" customWidth="1"/>
    <col min="19" max="71" width="9.140625" style="42"/>
    <col min="72" max="16384" width="9.140625" style="18"/>
  </cols>
  <sheetData>
    <row r="1" spans="4:71">
      <c r="K1" s="555" t="s">
        <v>115</v>
      </c>
      <c r="L1" s="555"/>
      <c r="M1" s="555"/>
      <c r="N1" s="555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</row>
    <row r="2" spans="4:71" ht="60" customHeight="1">
      <c r="K2" s="554" t="s">
        <v>116</v>
      </c>
      <c r="L2" s="554"/>
      <c r="M2" s="554"/>
      <c r="N2" s="554"/>
      <c r="O2" s="8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</row>
    <row r="4" spans="4:71">
      <c r="K4" s="556" t="s">
        <v>123</v>
      </c>
      <c r="L4" s="556"/>
      <c r="M4" s="556"/>
      <c r="N4" s="556"/>
    </row>
    <row r="5" spans="4:71">
      <c r="K5" s="556" t="s">
        <v>573</v>
      </c>
      <c r="L5" s="556"/>
      <c r="M5" s="556"/>
      <c r="N5" s="556"/>
    </row>
    <row r="6" spans="4:71">
      <c r="K6" s="557" t="s">
        <v>117</v>
      </c>
      <c r="L6" s="557"/>
      <c r="M6" s="557"/>
      <c r="N6" s="557"/>
    </row>
    <row r="7" spans="4:71">
      <c r="K7" s="559" t="s">
        <v>428</v>
      </c>
      <c r="L7" s="560"/>
      <c r="M7" s="560"/>
      <c r="N7" s="560"/>
    </row>
    <row r="8" spans="4:71">
      <c r="K8" s="557" t="s">
        <v>118</v>
      </c>
      <c r="L8" s="557"/>
      <c r="M8" s="557"/>
      <c r="N8" s="557"/>
    </row>
    <row r="9" spans="4:71">
      <c r="K9" s="562" t="s">
        <v>475</v>
      </c>
      <c r="L9" s="562"/>
      <c r="M9" s="562"/>
      <c r="N9" s="562"/>
    </row>
    <row r="10" spans="4:71" ht="8.25" customHeight="1">
      <c r="K10" s="557" t="s">
        <v>119</v>
      </c>
      <c r="L10" s="557"/>
      <c r="M10" s="561" t="s">
        <v>122</v>
      </c>
      <c r="N10" s="561"/>
    </row>
    <row r="11" spans="4:71">
      <c r="K11" s="454" t="s">
        <v>400</v>
      </c>
      <c r="L11" s="454"/>
      <c r="M11" s="454"/>
      <c r="N11" s="454"/>
    </row>
    <row r="12" spans="4:71" ht="15.75" thickBot="1"/>
    <row r="13" spans="4:71" ht="12" customHeight="1">
      <c r="L13" s="12"/>
      <c r="M13" s="12"/>
      <c r="N13" s="455" t="s">
        <v>106</v>
      </c>
    </row>
    <row r="14" spans="4:71" ht="12" customHeight="1" thickBot="1">
      <c r="L14" s="13"/>
      <c r="M14" s="13"/>
      <c r="N14" s="456"/>
    </row>
    <row r="15" spans="4:71" ht="15" customHeight="1">
      <c r="D15" s="558" t="s">
        <v>398</v>
      </c>
      <c r="E15" s="558"/>
      <c r="F15" s="558"/>
      <c r="G15" s="558"/>
      <c r="H15" s="558"/>
      <c r="I15" s="558"/>
      <c r="J15" s="558"/>
      <c r="L15" s="13"/>
      <c r="M15" s="14" t="s">
        <v>107</v>
      </c>
      <c r="N15" s="15" t="s">
        <v>397</v>
      </c>
    </row>
    <row r="16" spans="4:71" ht="15" customHeight="1">
      <c r="D16" s="558" t="s">
        <v>399</v>
      </c>
      <c r="E16" s="558"/>
      <c r="F16" s="558"/>
      <c r="G16" s="558"/>
      <c r="H16" s="558"/>
      <c r="I16" s="558"/>
      <c r="J16" s="558"/>
      <c r="L16" s="13"/>
      <c r="M16" s="14" t="s">
        <v>108</v>
      </c>
      <c r="N16" s="16"/>
    </row>
    <row r="17" spans="1:71" ht="15" customHeight="1">
      <c r="D17" s="558" t="s">
        <v>396</v>
      </c>
      <c r="E17" s="558"/>
      <c r="F17" s="558"/>
      <c r="G17" s="558"/>
      <c r="H17" s="558"/>
      <c r="I17" s="558"/>
      <c r="J17" s="558"/>
      <c r="L17" s="13"/>
      <c r="M17" s="14" t="s">
        <v>109</v>
      </c>
      <c r="N17" s="16" t="s">
        <v>354</v>
      </c>
    </row>
    <row r="18" spans="1:71" ht="12" customHeight="1">
      <c r="B18" s="471" t="s">
        <v>379</v>
      </c>
      <c r="C18" s="471"/>
      <c r="D18" s="471"/>
      <c r="E18" s="276"/>
      <c r="L18" s="13"/>
      <c r="M18" s="14" t="s">
        <v>108</v>
      </c>
      <c r="N18" s="16"/>
    </row>
    <row r="19" spans="1:71" ht="12" customHeight="1">
      <c r="B19" s="471" t="s">
        <v>380</v>
      </c>
      <c r="C19" s="471"/>
      <c r="D19" s="471"/>
      <c r="E19" s="471"/>
      <c r="F19" s="472" t="s">
        <v>381</v>
      </c>
      <c r="G19" s="472"/>
      <c r="H19" s="472"/>
      <c r="I19" s="472"/>
      <c r="L19" s="13"/>
      <c r="M19" s="14" t="s">
        <v>110</v>
      </c>
      <c r="N19" s="338" t="s">
        <v>426</v>
      </c>
    </row>
    <row r="20" spans="1:71" ht="12" customHeight="1">
      <c r="B20" s="18" t="s">
        <v>382</v>
      </c>
      <c r="D20" s="473" t="str">
        <f>K7</f>
        <v xml:space="preserve"> "Гимназия во имя святителя Иннокентия Пензенского" г. Пензы</v>
      </c>
      <c r="E20" s="473"/>
      <c r="F20" s="473"/>
      <c r="G20" s="473"/>
      <c r="H20" s="473"/>
      <c r="I20" s="473"/>
      <c r="L20" s="13"/>
      <c r="M20" s="14" t="s">
        <v>111</v>
      </c>
      <c r="N20" s="338" t="s">
        <v>427</v>
      </c>
    </row>
    <row r="21" spans="1:71" ht="12" customHeight="1" thickBot="1">
      <c r="B21" s="18" t="s">
        <v>383</v>
      </c>
      <c r="L21" s="13"/>
      <c r="M21" s="14" t="s">
        <v>112</v>
      </c>
      <c r="N21" s="17" t="s">
        <v>113</v>
      </c>
    </row>
    <row r="22" spans="1:71">
      <c r="E22" s="67" t="s">
        <v>114</v>
      </c>
      <c r="F22" s="67"/>
      <c r="G22" s="67"/>
      <c r="H22" s="67"/>
    </row>
    <row r="23" spans="1:71" ht="15.75" thickBot="1"/>
    <row r="24" spans="1:71">
      <c r="B24" s="458" t="s">
        <v>0</v>
      </c>
      <c r="C24" s="459"/>
      <c r="D24" s="459"/>
      <c r="E24" s="459"/>
      <c r="F24" s="459"/>
      <c r="G24" s="459"/>
      <c r="H24" s="464" t="s">
        <v>1</v>
      </c>
      <c r="I24" s="464" t="s">
        <v>2</v>
      </c>
      <c r="J24" s="467" t="s">
        <v>3</v>
      </c>
      <c r="K24" s="469" t="s">
        <v>4</v>
      </c>
      <c r="L24" s="469"/>
      <c r="M24" s="469"/>
      <c r="N24" s="470"/>
    </row>
    <row r="25" spans="1:71">
      <c r="B25" s="460"/>
      <c r="C25" s="461"/>
      <c r="D25" s="461"/>
      <c r="E25" s="461"/>
      <c r="F25" s="461"/>
      <c r="G25" s="461"/>
      <c r="H25" s="465"/>
      <c r="I25" s="465"/>
      <c r="J25" s="468"/>
      <c r="K25" s="61" t="s">
        <v>196</v>
      </c>
      <c r="L25" s="61" t="s">
        <v>197</v>
      </c>
      <c r="M25" s="61" t="s">
        <v>198</v>
      </c>
      <c r="N25" s="445" t="s">
        <v>7</v>
      </c>
    </row>
    <row r="26" spans="1:71" ht="36.75" customHeight="1">
      <c r="B26" s="462"/>
      <c r="C26" s="463"/>
      <c r="D26" s="463"/>
      <c r="E26" s="463"/>
      <c r="F26" s="463"/>
      <c r="G26" s="463"/>
      <c r="H26" s="466"/>
      <c r="I26" s="466"/>
      <c r="J26" s="468"/>
      <c r="K26" s="62" t="s">
        <v>8</v>
      </c>
      <c r="L26" s="62" t="s">
        <v>9</v>
      </c>
      <c r="M26" s="62" t="s">
        <v>10</v>
      </c>
      <c r="N26" s="445"/>
    </row>
    <row r="27" spans="1:71" ht="15.75" thickBot="1">
      <c r="B27" s="563" t="s">
        <v>11</v>
      </c>
      <c r="C27" s="564"/>
      <c r="D27" s="564"/>
      <c r="E27" s="564"/>
      <c r="F27" s="564"/>
      <c r="G27" s="564"/>
      <c r="H27" s="1" t="s">
        <v>12</v>
      </c>
      <c r="I27" s="1" t="s">
        <v>13</v>
      </c>
      <c r="J27" s="1" t="s">
        <v>14</v>
      </c>
      <c r="K27" s="1" t="s">
        <v>15</v>
      </c>
      <c r="L27" s="1" t="s">
        <v>16</v>
      </c>
      <c r="M27" s="1" t="s">
        <v>17</v>
      </c>
      <c r="N27" s="68" t="s">
        <v>18</v>
      </c>
    </row>
    <row r="28" spans="1:71">
      <c r="B28" s="448" t="s">
        <v>19</v>
      </c>
      <c r="C28" s="449"/>
      <c r="D28" s="449"/>
      <c r="E28" s="449"/>
      <c r="F28" s="449"/>
      <c r="G28" s="449"/>
      <c r="H28" s="2" t="s">
        <v>20</v>
      </c>
      <c r="I28" s="7" t="s">
        <v>21</v>
      </c>
      <c r="J28" s="47" t="s">
        <v>21</v>
      </c>
      <c r="K28" s="48">
        <v>22670.6</v>
      </c>
      <c r="L28" s="266">
        <v>0</v>
      </c>
      <c r="M28" s="266">
        <v>0</v>
      </c>
      <c r="N28" s="49"/>
    </row>
    <row r="29" spans="1:71">
      <c r="B29" s="448" t="s">
        <v>22</v>
      </c>
      <c r="C29" s="449"/>
      <c r="D29" s="449"/>
      <c r="E29" s="449"/>
      <c r="F29" s="449"/>
      <c r="G29" s="449"/>
      <c r="H29" s="3" t="s">
        <v>23</v>
      </c>
      <c r="I29" s="8" t="s">
        <v>21</v>
      </c>
      <c r="J29" s="50" t="s">
        <v>21</v>
      </c>
      <c r="K29" s="44">
        <f>K28+K30-K56</f>
        <v>0</v>
      </c>
      <c r="L29" s="44">
        <f t="shared" ref="L29:M29" si="0">L28+L30-L56</f>
        <v>0</v>
      </c>
      <c r="M29" s="44">
        <f t="shared" si="0"/>
        <v>0</v>
      </c>
      <c r="N29" s="51"/>
    </row>
    <row r="30" spans="1:71" s="35" customFormat="1">
      <c r="A30" s="42"/>
      <c r="B30" s="450" t="s">
        <v>24</v>
      </c>
      <c r="C30" s="451"/>
      <c r="D30" s="451"/>
      <c r="E30" s="451"/>
      <c r="F30" s="451"/>
      <c r="G30" s="451"/>
      <c r="H30" s="33" t="s">
        <v>25</v>
      </c>
      <c r="I30" s="34"/>
      <c r="J30" s="52"/>
      <c r="K30" s="89">
        <f>K31+K34+K37+K40+K43+K47+K53</f>
        <v>14094348.33</v>
      </c>
      <c r="L30" s="89">
        <f t="shared" ref="L30:M30" si="1">L31+L34+L37+L40+L43+L47+L53</f>
        <v>16011384.73</v>
      </c>
      <c r="M30" s="89">
        <f t="shared" si="1"/>
        <v>15723500.700000001</v>
      </c>
      <c r="N30" s="53"/>
      <c r="O30" s="84"/>
      <c r="P30" s="84"/>
      <c r="Q30" s="84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>
      <c r="B31" s="452" t="s">
        <v>26</v>
      </c>
      <c r="C31" s="453"/>
      <c r="D31" s="453"/>
      <c r="E31" s="453"/>
      <c r="F31" s="453"/>
      <c r="G31" s="453"/>
      <c r="H31" s="3" t="s">
        <v>27</v>
      </c>
      <c r="I31" s="8" t="s">
        <v>28</v>
      </c>
      <c r="J31" s="54"/>
      <c r="K31" s="44">
        <f t="shared" ref="K31:M31" si="2">K32</f>
        <v>0</v>
      </c>
      <c r="L31" s="44">
        <f t="shared" si="2"/>
        <v>0</v>
      </c>
      <c r="M31" s="44">
        <f t="shared" si="2"/>
        <v>0</v>
      </c>
      <c r="N31" s="51"/>
    </row>
    <row r="32" spans="1:71">
      <c r="B32" s="476" t="s">
        <v>29</v>
      </c>
      <c r="C32" s="477"/>
      <c r="D32" s="477"/>
      <c r="E32" s="477"/>
      <c r="F32" s="477"/>
      <c r="G32" s="477"/>
      <c r="H32" s="546" t="s">
        <v>30</v>
      </c>
      <c r="I32" s="548"/>
      <c r="J32" s="550"/>
      <c r="K32" s="484"/>
      <c r="L32" s="484"/>
      <c r="M32" s="484"/>
      <c r="N32" s="485"/>
    </row>
    <row r="33" spans="2:16" ht="15.75" thickBot="1">
      <c r="B33" s="486"/>
      <c r="C33" s="487"/>
      <c r="D33" s="487"/>
      <c r="E33" s="487"/>
      <c r="F33" s="487"/>
      <c r="G33" s="487"/>
      <c r="H33" s="547"/>
      <c r="I33" s="549"/>
      <c r="J33" s="550"/>
      <c r="K33" s="484"/>
      <c r="L33" s="484"/>
      <c r="M33" s="484"/>
      <c r="N33" s="485"/>
    </row>
    <row r="34" spans="2:16">
      <c r="B34" s="474" t="s">
        <v>31</v>
      </c>
      <c r="C34" s="475"/>
      <c r="D34" s="475"/>
      <c r="E34" s="475"/>
      <c r="F34" s="475"/>
      <c r="G34" s="475"/>
      <c r="H34" s="2" t="s">
        <v>32</v>
      </c>
      <c r="I34" s="7" t="s">
        <v>33</v>
      </c>
      <c r="J34" s="54"/>
      <c r="K34" s="44">
        <f t="shared" ref="K34:M34" si="3">K35</f>
        <v>11054515</v>
      </c>
      <c r="L34" s="44">
        <f t="shared" si="3"/>
        <v>11819443</v>
      </c>
      <c r="M34" s="44">
        <f t="shared" si="3"/>
        <v>12166967</v>
      </c>
      <c r="N34" s="51"/>
    </row>
    <row r="35" spans="2:16">
      <c r="B35" s="488" t="s">
        <v>34</v>
      </c>
      <c r="C35" s="489"/>
      <c r="D35" s="489"/>
      <c r="E35" s="489"/>
      <c r="F35" s="489"/>
      <c r="G35" s="489"/>
      <c r="H35" s="3" t="s">
        <v>35</v>
      </c>
      <c r="I35" s="8" t="s">
        <v>33</v>
      </c>
      <c r="J35" s="54"/>
      <c r="K35" s="184">
        <v>11054515</v>
      </c>
      <c r="L35" s="184">
        <v>11819443</v>
      </c>
      <c r="M35" s="184">
        <v>12166967</v>
      </c>
      <c r="N35" s="51"/>
    </row>
    <row r="36" spans="2:16">
      <c r="B36" s="490"/>
      <c r="C36" s="491"/>
      <c r="D36" s="491"/>
      <c r="E36" s="491"/>
      <c r="F36" s="491"/>
      <c r="G36" s="492"/>
      <c r="H36" s="3"/>
      <c r="I36" s="8"/>
      <c r="J36" s="54"/>
      <c r="K36" s="44"/>
      <c r="L36" s="44"/>
      <c r="M36" s="44"/>
      <c r="N36" s="51"/>
    </row>
    <row r="37" spans="2:16">
      <c r="B37" s="474" t="s">
        <v>36</v>
      </c>
      <c r="C37" s="475"/>
      <c r="D37" s="475"/>
      <c r="E37" s="475"/>
      <c r="F37" s="475"/>
      <c r="G37" s="475"/>
      <c r="H37" s="3" t="s">
        <v>37</v>
      </c>
      <c r="I37" s="8" t="s">
        <v>38</v>
      </c>
      <c r="J37" s="54"/>
      <c r="K37" s="44">
        <f t="shared" ref="K37:M37" si="4">K38</f>
        <v>0</v>
      </c>
      <c r="L37" s="44">
        <f t="shared" si="4"/>
        <v>0</v>
      </c>
      <c r="M37" s="44">
        <f t="shared" si="4"/>
        <v>0</v>
      </c>
      <c r="N37" s="51"/>
    </row>
    <row r="38" spans="2:16">
      <c r="B38" s="476" t="s">
        <v>29</v>
      </c>
      <c r="C38" s="477"/>
      <c r="D38" s="477"/>
      <c r="E38" s="477"/>
      <c r="F38" s="477"/>
      <c r="G38" s="477"/>
      <c r="H38" s="546" t="s">
        <v>39</v>
      </c>
      <c r="I38" s="548" t="s">
        <v>38</v>
      </c>
      <c r="J38" s="550"/>
      <c r="K38" s="483"/>
      <c r="L38" s="483"/>
      <c r="M38" s="483"/>
      <c r="N38" s="485"/>
    </row>
    <row r="39" spans="2:16">
      <c r="B39" s="486"/>
      <c r="C39" s="487"/>
      <c r="D39" s="487"/>
      <c r="E39" s="487"/>
      <c r="F39" s="487"/>
      <c r="G39" s="487"/>
      <c r="H39" s="551"/>
      <c r="I39" s="552"/>
      <c r="J39" s="550"/>
      <c r="K39" s="483"/>
      <c r="L39" s="483"/>
      <c r="M39" s="483"/>
      <c r="N39" s="485"/>
    </row>
    <row r="40" spans="2:16">
      <c r="B40" s="474" t="s">
        <v>40</v>
      </c>
      <c r="C40" s="475"/>
      <c r="D40" s="475"/>
      <c r="E40" s="475"/>
      <c r="F40" s="475"/>
      <c r="G40" s="475"/>
      <c r="H40" s="3" t="s">
        <v>41</v>
      </c>
      <c r="I40" s="8" t="s">
        <v>42</v>
      </c>
      <c r="J40" s="54"/>
      <c r="K40" s="44">
        <f t="shared" ref="K40:M40" si="5">K41</f>
        <v>2572978.44</v>
      </c>
      <c r="L40" s="44">
        <f t="shared" si="5"/>
        <v>3702416.24</v>
      </c>
      <c r="M40" s="44">
        <f t="shared" si="5"/>
        <v>3067008.21</v>
      </c>
      <c r="N40" s="51"/>
    </row>
    <row r="41" spans="2:16">
      <c r="B41" s="495" t="s">
        <v>29</v>
      </c>
      <c r="C41" s="496"/>
      <c r="D41" s="496"/>
      <c r="E41" s="496"/>
      <c r="F41" s="496"/>
      <c r="G41" s="496"/>
      <c r="H41" s="546"/>
      <c r="I41" s="548"/>
      <c r="J41" s="550"/>
      <c r="K41" s="483">
        <v>2572978.44</v>
      </c>
      <c r="L41" s="483">
        <v>3702416.24</v>
      </c>
      <c r="M41" s="483">
        <v>3067008.21</v>
      </c>
      <c r="N41" s="485"/>
    </row>
    <row r="42" spans="2:16">
      <c r="B42" s="553" t="s">
        <v>47</v>
      </c>
      <c r="C42" s="501"/>
      <c r="D42" s="501"/>
      <c r="E42" s="501"/>
      <c r="F42" s="501"/>
      <c r="G42" s="501"/>
      <c r="H42" s="551"/>
      <c r="I42" s="552"/>
      <c r="J42" s="550"/>
      <c r="K42" s="483"/>
      <c r="L42" s="483"/>
      <c r="M42" s="483"/>
      <c r="N42" s="485"/>
      <c r="P42" s="84">
        <v>311190</v>
      </c>
    </row>
    <row r="43" spans="2:16">
      <c r="B43" s="474" t="s">
        <v>43</v>
      </c>
      <c r="C43" s="475"/>
      <c r="D43" s="475"/>
      <c r="E43" s="475"/>
      <c r="F43" s="475"/>
      <c r="G43" s="475"/>
      <c r="H43" s="3" t="s">
        <v>44</v>
      </c>
      <c r="I43" s="8" t="s">
        <v>45</v>
      </c>
      <c r="J43" s="54"/>
      <c r="K43" s="44">
        <f t="shared" ref="K43:M43" si="6">K44</f>
        <v>0</v>
      </c>
      <c r="L43" s="44">
        <f t="shared" si="6"/>
        <v>0</v>
      </c>
      <c r="M43" s="44">
        <f t="shared" si="6"/>
        <v>0</v>
      </c>
      <c r="N43" s="51"/>
      <c r="P43" s="84">
        <f>P42-K28</f>
        <v>288519.40000000002</v>
      </c>
    </row>
    <row r="44" spans="2:16">
      <c r="B44" s="495" t="s">
        <v>29</v>
      </c>
      <c r="C44" s="496"/>
      <c r="D44" s="496"/>
      <c r="E44" s="496"/>
      <c r="F44" s="496"/>
      <c r="G44" s="496"/>
      <c r="H44" s="546" t="s">
        <v>46</v>
      </c>
      <c r="I44" s="548" t="s">
        <v>45</v>
      </c>
      <c r="J44" s="550"/>
      <c r="K44" s="497"/>
      <c r="L44" s="497"/>
      <c r="M44" s="497"/>
      <c r="N44" s="485"/>
    </row>
    <row r="45" spans="2:16">
      <c r="B45" s="553"/>
      <c r="C45" s="501"/>
      <c r="D45" s="501"/>
      <c r="E45" s="501"/>
      <c r="F45" s="501"/>
      <c r="G45" s="501"/>
      <c r="H45" s="551"/>
      <c r="I45" s="552"/>
      <c r="J45" s="550"/>
      <c r="K45" s="497"/>
      <c r="L45" s="497"/>
      <c r="M45" s="497"/>
      <c r="N45" s="485"/>
    </row>
    <row r="46" spans="2:16">
      <c r="B46" s="500"/>
      <c r="C46" s="501"/>
      <c r="D46" s="501"/>
      <c r="E46" s="501"/>
      <c r="F46" s="501"/>
      <c r="G46" s="501"/>
      <c r="H46" s="3"/>
      <c r="I46" s="8"/>
      <c r="J46" s="54"/>
      <c r="K46" s="44"/>
      <c r="L46" s="44"/>
      <c r="M46" s="44"/>
      <c r="N46" s="51"/>
    </row>
    <row r="47" spans="2:16">
      <c r="B47" s="474" t="s">
        <v>48</v>
      </c>
      <c r="C47" s="475"/>
      <c r="D47" s="475"/>
      <c r="E47" s="475"/>
      <c r="F47" s="475"/>
      <c r="G47" s="475"/>
      <c r="H47" s="3" t="s">
        <v>49</v>
      </c>
      <c r="I47" s="8"/>
      <c r="J47" s="54"/>
      <c r="K47" s="44">
        <f>K48+K50+K51+K52</f>
        <v>466854.89</v>
      </c>
      <c r="L47" s="44">
        <f t="shared" ref="L47:M47" si="7">L48+L50+L51+L52</f>
        <v>489525.49</v>
      </c>
      <c r="M47" s="44">
        <f t="shared" si="7"/>
        <v>489525.49</v>
      </c>
      <c r="N47" s="51"/>
    </row>
    <row r="48" spans="2:16">
      <c r="B48" s="495" t="s">
        <v>29</v>
      </c>
      <c r="C48" s="496"/>
      <c r="D48" s="496"/>
      <c r="E48" s="496"/>
      <c r="F48" s="496"/>
      <c r="G48" s="496"/>
      <c r="H48" s="546"/>
      <c r="I48" s="548"/>
      <c r="J48" s="550"/>
      <c r="K48" s="483">
        <v>43860</v>
      </c>
      <c r="L48" s="483">
        <v>43860</v>
      </c>
      <c r="M48" s="483">
        <v>43860</v>
      </c>
      <c r="N48" s="485"/>
    </row>
    <row r="49" spans="1:71">
      <c r="B49" s="506" t="s">
        <v>356</v>
      </c>
      <c r="C49" s="507"/>
      <c r="D49" s="507"/>
      <c r="E49" s="507"/>
      <c r="F49" s="507"/>
      <c r="G49" s="507"/>
      <c r="H49" s="551"/>
      <c r="I49" s="552"/>
      <c r="J49" s="550"/>
      <c r="K49" s="483"/>
      <c r="L49" s="483"/>
      <c r="M49" s="483"/>
      <c r="N49" s="485"/>
    </row>
    <row r="50" spans="1:71">
      <c r="B50" s="508" t="s">
        <v>188</v>
      </c>
      <c r="C50" s="509"/>
      <c r="D50" s="509"/>
      <c r="E50" s="509"/>
      <c r="F50" s="509"/>
      <c r="G50" s="509"/>
      <c r="H50" s="3"/>
      <c r="I50" s="8"/>
      <c r="J50" s="54"/>
      <c r="K50" s="184"/>
      <c r="L50" s="184"/>
      <c r="M50" s="184"/>
      <c r="N50" s="51"/>
    </row>
    <row r="51" spans="1:71">
      <c r="B51" s="508" t="s">
        <v>357</v>
      </c>
      <c r="C51" s="509"/>
      <c r="D51" s="509"/>
      <c r="E51" s="509"/>
      <c r="F51" s="509"/>
      <c r="G51" s="509"/>
      <c r="H51" s="3"/>
      <c r="I51" s="8"/>
      <c r="J51" s="54"/>
      <c r="K51" s="184">
        <v>178335.49</v>
      </c>
      <c r="L51" s="184">
        <v>178335.49</v>
      </c>
      <c r="M51" s="184">
        <v>178335.49</v>
      </c>
      <c r="N51" s="51"/>
    </row>
    <row r="52" spans="1:71">
      <c r="B52" s="510" t="s">
        <v>355</v>
      </c>
      <c r="C52" s="507"/>
      <c r="D52" s="507"/>
      <c r="E52" s="507"/>
      <c r="F52" s="507"/>
      <c r="G52" s="507"/>
      <c r="H52" s="3"/>
      <c r="I52" s="8"/>
      <c r="J52" s="54"/>
      <c r="K52" s="203">
        <f>288519.4-43860</f>
        <v>244659.40000000002</v>
      </c>
      <c r="L52" s="203">
        <f>311190-43860</f>
        <v>267330</v>
      </c>
      <c r="M52" s="203">
        <f>311190-43860</f>
        <v>267330</v>
      </c>
      <c r="N52" s="51"/>
    </row>
    <row r="53" spans="1:71">
      <c r="B53" s="474" t="s">
        <v>50</v>
      </c>
      <c r="C53" s="475"/>
      <c r="D53" s="475"/>
      <c r="E53" s="475"/>
      <c r="F53" s="475"/>
      <c r="G53" s="475"/>
      <c r="H53" s="3" t="s">
        <v>51</v>
      </c>
      <c r="I53" s="8" t="s">
        <v>21</v>
      </c>
      <c r="J53" s="54"/>
      <c r="K53" s="44">
        <f t="shared" ref="K53:M53" si="8">K54</f>
        <v>0</v>
      </c>
      <c r="L53" s="44">
        <f t="shared" si="8"/>
        <v>0</v>
      </c>
      <c r="M53" s="44">
        <f t="shared" si="8"/>
        <v>0</v>
      </c>
      <c r="N53" s="51"/>
    </row>
    <row r="54" spans="1:71">
      <c r="B54" s="488" t="s">
        <v>52</v>
      </c>
      <c r="C54" s="489"/>
      <c r="D54" s="489"/>
      <c r="E54" s="489"/>
      <c r="F54" s="489"/>
      <c r="G54" s="489"/>
      <c r="H54" s="3" t="s">
        <v>53</v>
      </c>
      <c r="I54" s="8" t="s">
        <v>54</v>
      </c>
      <c r="J54" s="54"/>
      <c r="K54" s="44"/>
      <c r="L54" s="44"/>
      <c r="M54" s="44"/>
      <c r="N54" s="51" t="s">
        <v>21</v>
      </c>
    </row>
    <row r="55" spans="1:71" ht="15.75" thickBot="1">
      <c r="B55" s="500"/>
      <c r="C55" s="501"/>
      <c r="D55" s="501"/>
      <c r="E55" s="501"/>
      <c r="F55" s="501"/>
      <c r="G55" s="501"/>
      <c r="H55" s="3"/>
      <c r="I55" s="8"/>
      <c r="J55" s="54"/>
      <c r="K55" s="44"/>
      <c r="L55" s="44"/>
      <c r="M55" s="44"/>
      <c r="N55" s="51"/>
      <c r="O55" s="84" t="s">
        <v>339</v>
      </c>
      <c r="P55" s="84">
        <v>2020</v>
      </c>
      <c r="Q55" s="84">
        <v>2021</v>
      </c>
      <c r="R55" s="42">
        <v>2022</v>
      </c>
    </row>
    <row r="56" spans="1:71" s="43" customFormat="1">
      <c r="A56" s="42"/>
      <c r="B56" s="502" t="s">
        <v>55</v>
      </c>
      <c r="C56" s="503"/>
      <c r="D56" s="503"/>
      <c r="E56" s="503"/>
      <c r="F56" s="503"/>
      <c r="G56" s="503"/>
      <c r="H56" s="63" t="s">
        <v>56</v>
      </c>
      <c r="I56" s="64" t="s">
        <v>21</v>
      </c>
      <c r="J56" s="65"/>
      <c r="K56" s="88">
        <f>K57+K91+K94+K118+K130+K132+K309</f>
        <v>14117018.93</v>
      </c>
      <c r="L56" s="88">
        <f>L57+L91+L94+L118+L130+L132+L309</f>
        <v>16011384.73</v>
      </c>
      <c r="M56" s="88">
        <f>M57+M91+M94+M118+M130+M132+M309</f>
        <v>15723500.699999999</v>
      </c>
      <c r="N56" s="287"/>
      <c r="O56" s="288" t="s">
        <v>191</v>
      </c>
      <c r="P56" s="289">
        <f>K59+K76+K97+K152+K174++K192+K210+K231+K254+K272+K290+K137+K123</f>
        <v>489525.49</v>
      </c>
      <c r="Q56" s="289">
        <f>L59+L76+L97+L152+L174++L192+L210+L231+L254+L272+L290+L137+L123</f>
        <v>489525.49</v>
      </c>
      <c r="R56" s="290">
        <f>M59+M76+M97+M152+M174++M192+M210+M231+M254+M272+M290+M137+M123</f>
        <v>489525.49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38" customFormat="1">
      <c r="A57" s="42"/>
      <c r="B57" s="504" t="s">
        <v>57</v>
      </c>
      <c r="C57" s="505"/>
      <c r="D57" s="505"/>
      <c r="E57" s="505"/>
      <c r="F57" s="505"/>
      <c r="G57" s="505"/>
      <c r="H57" s="36" t="s">
        <v>58</v>
      </c>
      <c r="I57" s="37" t="s">
        <v>21</v>
      </c>
      <c r="J57" s="55"/>
      <c r="K57" s="45">
        <f>K58+K75</f>
        <v>8099045</v>
      </c>
      <c r="L57" s="45">
        <f>L58+L75</f>
        <v>8722385</v>
      </c>
      <c r="M57" s="45">
        <f t="shared" ref="M57" si="9">M58+M75</f>
        <v>8895153</v>
      </c>
      <c r="N57" s="238" t="s">
        <v>21</v>
      </c>
      <c r="O57" s="267" t="s">
        <v>341</v>
      </c>
      <c r="P57" s="183">
        <f>K60+K77+K98+K154+K176++K194+K212+K233+K256+K274+K292+K121+K93+K138</f>
        <v>2939826</v>
      </c>
      <c r="Q57" s="183">
        <f>L60+L77+L98+L154+L176++L194+L212+L233+L256+L274+L292+L121+L93+L138</f>
        <v>2912474</v>
      </c>
      <c r="R57" s="291">
        <f>M60+M77+M98+M154+M176++M194+M212+M233+M256+M274+M292+M121+M93+M138</f>
        <v>3108848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</row>
    <row r="58" spans="1:71">
      <c r="B58" s="488" t="s">
        <v>59</v>
      </c>
      <c r="C58" s="489"/>
      <c r="D58" s="489"/>
      <c r="E58" s="489"/>
      <c r="F58" s="489"/>
      <c r="G58" s="489"/>
      <c r="H58" s="3" t="s">
        <v>60</v>
      </c>
      <c r="I58" s="8" t="s">
        <v>61</v>
      </c>
      <c r="J58" s="181" t="s">
        <v>326</v>
      </c>
      <c r="K58" s="177">
        <f>SUM(K59:K68)</f>
        <v>8073014</v>
      </c>
      <c r="L58" s="177">
        <f t="shared" ref="L58:M58" si="10">SUM(L59:L68)</f>
        <v>8722385</v>
      </c>
      <c r="M58" s="177">
        <f t="shared" si="10"/>
        <v>8895153</v>
      </c>
      <c r="N58" s="185" t="s">
        <v>21</v>
      </c>
      <c r="O58" s="267" t="s">
        <v>192</v>
      </c>
      <c r="P58" s="183">
        <f>K61+K78+K99</f>
        <v>10088</v>
      </c>
      <c r="Q58" s="183">
        <f t="shared" ref="Q58:R58" si="11">L61+L78+L99</f>
        <v>10088</v>
      </c>
      <c r="R58" s="291">
        <f t="shared" si="11"/>
        <v>10088</v>
      </c>
    </row>
    <row r="59" spans="1:71">
      <c r="B59" s="91"/>
      <c r="C59" s="92"/>
      <c r="D59" s="92"/>
      <c r="E59" s="92"/>
      <c r="F59" s="92"/>
      <c r="G59" s="92"/>
      <c r="H59" s="3"/>
      <c r="I59" s="8"/>
      <c r="J59" s="176" t="s">
        <v>191</v>
      </c>
      <c r="K59" s="194">
        <v>166000</v>
      </c>
      <c r="L59" s="313">
        <v>166000</v>
      </c>
      <c r="M59" s="313">
        <v>166000</v>
      </c>
      <c r="N59" s="185"/>
      <c r="O59" s="267" t="s">
        <v>328</v>
      </c>
      <c r="P59" s="183">
        <f>K62+K79++K100</f>
        <v>191673</v>
      </c>
      <c r="Q59" s="183">
        <f t="shared" ref="Q59:R59" si="12">L62+L79++L100</f>
        <v>191673</v>
      </c>
      <c r="R59" s="291">
        <f t="shared" si="12"/>
        <v>191673</v>
      </c>
    </row>
    <row r="60" spans="1:71">
      <c r="B60" s="490"/>
      <c r="C60" s="491"/>
      <c r="D60" s="491"/>
      <c r="E60" s="491"/>
      <c r="F60" s="491"/>
      <c r="G60" s="492"/>
      <c r="H60" s="3"/>
      <c r="I60" s="8"/>
      <c r="J60" s="176" t="s">
        <v>341</v>
      </c>
      <c r="K60" s="194">
        <v>1280072</v>
      </c>
      <c r="L60" s="194">
        <v>1294422</v>
      </c>
      <c r="M60" s="194">
        <v>1352398</v>
      </c>
      <c r="N60" s="185"/>
      <c r="O60" s="268" t="s">
        <v>193</v>
      </c>
      <c r="P60" s="183">
        <f>K63+K80+K101+K155+K177++K195+K213+K234+K257+K275+K293</f>
        <v>7912928</v>
      </c>
      <c r="Q60" s="183">
        <f>L63+L80+L101+L155+L177++L195+L213+L234+L257+L275+L293</f>
        <v>8705208</v>
      </c>
      <c r="R60" s="291">
        <f>M63+M80+M101+M155+M177++M195+M213+M234+M257+M275+M293</f>
        <v>8856358</v>
      </c>
    </row>
    <row r="61" spans="1:71">
      <c r="B61" s="97"/>
      <c r="C61" s="98"/>
      <c r="D61" s="98"/>
      <c r="E61" s="98"/>
      <c r="F61" s="98"/>
      <c r="G61" s="99"/>
      <c r="H61" s="3"/>
      <c r="I61" s="8"/>
      <c r="J61" s="176" t="s">
        <v>192</v>
      </c>
      <c r="K61" s="194">
        <v>7748</v>
      </c>
      <c r="L61" s="194">
        <v>7748</v>
      </c>
      <c r="M61" s="194">
        <v>7748</v>
      </c>
      <c r="N61" s="185"/>
      <c r="O61" s="176" t="s">
        <v>430</v>
      </c>
      <c r="P61" s="270">
        <f>K216</f>
        <v>290838.24</v>
      </c>
      <c r="Q61" s="270">
        <f t="shared" ref="Q61:R61" si="13">L216</f>
        <v>311455.94</v>
      </c>
      <c r="R61" s="270">
        <f t="shared" si="13"/>
        <v>332122.41000000003</v>
      </c>
      <c r="V61" s="42" t="s">
        <v>353</v>
      </c>
    </row>
    <row r="62" spans="1:71">
      <c r="B62" s="97"/>
      <c r="C62" s="98"/>
      <c r="D62" s="98"/>
      <c r="E62" s="98"/>
      <c r="F62" s="98"/>
      <c r="G62" s="99"/>
      <c r="H62" s="3"/>
      <c r="I62" s="8"/>
      <c r="J62" s="176" t="s">
        <v>328</v>
      </c>
      <c r="K62" s="194">
        <v>147214</v>
      </c>
      <c r="L62" s="194">
        <v>147214</v>
      </c>
      <c r="M62" s="194">
        <v>147214</v>
      </c>
      <c r="N62" s="185"/>
      <c r="O62" s="267" t="s">
        <v>429</v>
      </c>
      <c r="P62" s="183">
        <f>K142+K259+K236+K215</f>
        <v>646307.19999999995</v>
      </c>
      <c r="Q62" s="183">
        <f t="shared" ref="Q62:R62" si="14">L142+L259+L236+L215</f>
        <v>692124.29999999993</v>
      </c>
      <c r="R62" s="291">
        <f t="shared" si="14"/>
        <v>738049.79999999993</v>
      </c>
    </row>
    <row r="63" spans="1:71">
      <c r="B63" s="490"/>
      <c r="C63" s="491"/>
      <c r="D63" s="491"/>
      <c r="E63" s="491"/>
      <c r="F63" s="491"/>
      <c r="G63" s="492"/>
      <c r="H63" s="3"/>
      <c r="I63" s="8"/>
      <c r="J63" s="176" t="s">
        <v>193</v>
      </c>
      <c r="K63" s="194">
        <v>5811980</v>
      </c>
      <c r="L63" s="194">
        <v>6447001</v>
      </c>
      <c r="M63" s="194">
        <v>6561793</v>
      </c>
      <c r="N63" s="185"/>
      <c r="O63" s="267" t="s">
        <v>346</v>
      </c>
      <c r="P63" s="270">
        <f>K250+K214</f>
        <v>505373</v>
      </c>
      <c r="Q63" s="183">
        <f t="shared" ref="Q63:R63" si="15">L250+L214</f>
        <v>328376</v>
      </c>
      <c r="R63" s="291">
        <f t="shared" si="15"/>
        <v>328376</v>
      </c>
    </row>
    <row r="64" spans="1:71">
      <c r="B64" s="97"/>
      <c r="C64" s="98"/>
      <c r="D64" s="98"/>
      <c r="E64" s="98"/>
      <c r="F64" s="98"/>
      <c r="G64" s="99"/>
      <c r="H64" s="3"/>
      <c r="I64" s="8"/>
      <c r="J64" s="176" t="s">
        <v>343</v>
      </c>
      <c r="K64" s="194"/>
      <c r="L64" s="194"/>
      <c r="M64" s="194"/>
      <c r="N64" s="185"/>
      <c r="O64" s="267" t="s">
        <v>347</v>
      </c>
      <c r="P64" s="270">
        <f>K197+K283</f>
        <v>60000</v>
      </c>
      <c r="Q64" s="183">
        <f t="shared" ref="Q64:R64" si="16">L197</f>
        <v>1300000</v>
      </c>
      <c r="R64" s="291">
        <f t="shared" si="16"/>
        <v>598000</v>
      </c>
    </row>
    <row r="65" spans="2:22">
      <c r="B65" s="97"/>
      <c r="C65" s="98"/>
      <c r="D65" s="98"/>
      <c r="E65" s="98"/>
      <c r="F65" s="98"/>
      <c r="G65" s="99"/>
      <c r="H65" s="3"/>
      <c r="I65" s="8"/>
      <c r="J65" s="176" t="s">
        <v>344</v>
      </c>
      <c r="K65" s="194"/>
      <c r="L65" s="194"/>
      <c r="M65" s="194"/>
      <c r="N65" s="185"/>
      <c r="O65" s="267" t="s">
        <v>343</v>
      </c>
      <c r="P65" s="270">
        <f>K64+K102</f>
        <v>0</v>
      </c>
      <c r="Q65" s="183">
        <f t="shared" ref="Q65:R65" si="17">L64+L102</f>
        <v>0</v>
      </c>
      <c r="R65" s="291">
        <f t="shared" si="17"/>
        <v>0</v>
      </c>
    </row>
    <row r="66" spans="2:22">
      <c r="B66" s="490"/>
      <c r="C66" s="491"/>
      <c r="D66" s="491"/>
      <c r="E66" s="491"/>
      <c r="F66" s="491"/>
      <c r="G66" s="492"/>
      <c r="H66" s="3"/>
      <c r="I66" s="8"/>
      <c r="J66" s="176" t="s">
        <v>349</v>
      </c>
      <c r="K66" s="194"/>
      <c r="L66" s="194"/>
      <c r="M66" s="194"/>
      <c r="N66" s="185"/>
      <c r="O66" s="176" t="s">
        <v>344</v>
      </c>
      <c r="P66" s="270">
        <f>K65+K103</f>
        <v>0</v>
      </c>
      <c r="Q66" s="183">
        <f t="shared" ref="Q66:R66" si="18">L65+L103</f>
        <v>0</v>
      </c>
      <c r="R66" s="291">
        <f t="shared" si="18"/>
        <v>0</v>
      </c>
      <c r="V66" s="42" t="s">
        <v>353</v>
      </c>
    </row>
    <row r="67" spans="2:22">
      <c r="B67" s="97"/>
      <c r="C67" s="98"/>
      <c r="D67" s="98"/>
      <c r="E67" s="98"/>
      <c r="F67" s="98"/>
      <c r="G67" s="99"/>
      <c r="H67" s="3"/>
      <c r="I67" s="8"/>
      <c r="J67" s="176" t="s">
        <v>350</v>
      </c>
      <c r="K67" s="194"/>
      <c r="L67" s="194"/>
      <c r="M67" s="194"/>
      <c r="N67" s="185"/>
      <c r="O67" s="176" t="s">
        <v>345</v>
      </c>
      <c r="P67" s="183">
        <f>K251+K279+K217</f>
        <v>211140</v>
      </c>
      <c r="Q67" s="183">
        <f t="shared" ref="Q67:R67" si="19">L251+L279+L217</f>
        <v>211140</v>
      </c>
      <c r="R67" s="291">
        <f t="shared" si="19"/>
        <v>211140</v>
      </c>
    </row>
    <row r="68" spans="2:22">
      <c r="B68" s="277"/>
      <c r="C68" s="278"/>
      <c r="D68" s="278"/>
      <c r="E68" s="278"/>
      <c r="F68" s="278"/>
      <c r="G68" s="279"/>
      <c r="H68" s="3"/>
      <c r="I68" s="8"/>
      <c r="J68" s="176" t="s">
        <v>431</v>
      </c>
      <c r="K68" s="339">
        <v>660000</v>
      </c>
      <c r="L68" s="339">
        <v>660000</v>
      </c>
      <c r="M68" s="339">
        <v>660000</v>
      </c>
      <c r="N68" s="185"/>
      <c r="O68" s="176" t="s">
        <v>431</v>
      </c>
      <c r="P68" s="183">
        <f>K68+K106</f>
        <v>859320</v>
      </c>
      <c r="Q68" s="183">
        <f t="shared" ref="Q68:R68" si="20">L68+L106</f>
        <v>859320</v>
      </c>
      <c r="R68" s="183">
        <f t="shared" si="20"/>
        <v>859320</v>
      </c>
    </row>
    <row r="69" spans="2:22">
      <c r="B69" s="277"/>
      <c r="C69" s="278"/>
      <c r="D69" s="278"/>
      <c r="E69" s="278"/>
      <c r="F69" s="278"/>
      <c r="G69" s="279"/>
      <c r="H69" s="3"/>
      <c r="I69" s="8"/>
      <c r="J69" s="176"/>
      <c r="K69" s="281"/>
      <c r="L69" s="281"/>
      <c r="M69" s="281"/>
      <c r="N69" s="185"/>
      <c r="O69" s="176"/>
      <c r="P69" s="183"/>
      <c r="Q69" s="183"/>
      <c r="R69" s="291"/>
    </row>
    <row r="70" spans="2:22">
      <c r="B70" s="277"/>
      <c r="C70" s="278"/>
      <c r="D70" s="278"/>
      <c r="E70" s="278"/>
      <c r="F70" s="278"/>
      <c r="G70" s="279"/>
      <c r="H70" s="3"/>
      <c r="I70" s="8"/>
      <c r="J70" s="176"/>
      <c r="K70" s="281"/>
      <c r="L70" s="281"/>
      <c r="M70" s="281"/>
      <c r="N70" s="185"/>
      <c r="O70" s="176"/>
      <c r="P70" s="183"/>
      <c r="Q70" s="183"/>
      <c r="R70" s="291"/>
    </row>
    <row r="71" spans="2:22">
      <c r="B71" s="277"/>
      <c r="C71" s="278"/>
      <c r="D71" s="278"/>
      <c r="E71" s="278"/>
      <c r="F71" s="278"/>
      <c r="G71" s="279"/>
      <c r="H71" s="3"/>
      <c r="I71" s="8"/>
      <c r="J71" s="176"/>
      <c r="K71" s="281"/>
      <c r="L71" s="281"/>
      <c r="M71" s="281"/>
      <c r="N71" s="185"/>
      <c r="O71" s="176"/>
      <c r="P71" s="183"/>
      <c r="Q71" s="183"/>
      <c r="R71" s="291"/>
    </row>
    <row r="72" spans="2:22">
      <c r="B72" s="277"/>
      <c r="C72" s="278"/>
      <c r="D72" s="278"/>
      <c r="E72" s="278"/>
      <c r="F72" s="278"/>
      <c r="G72" s="279"/>
      <c r="H72" s="3"/>
      <c r="I72" s="8"/>
      <c r="J72" s="176"/>
      <c r="K72" s="281"/>
      <c r="L72" s="281"/>
      <c r="M72" s="281"/>
      <c r="N72" s="185"/>
      <c r="O72" s="176"/>
      <c r="P72" s="183"/>
      <c r="Q72" s="183"/>
      <c r="R72" s="291"/>
    </row>
    <row r="73" spans="2:22">
      <c r="B73" s="277"/>
      <c r="C73" s="278"/>
      <c r="D73" s="278"/>
      <c r="E73" s="278"/>
      <c r="F73" s="278"/>
      <c r="G73" s="279"/>
      <c r="H73" s="3"/>
      <c r="I73" s="8"/>
      <c r="J73" s="176"/>
      <c r="K73" s="281"/>
      <c r="L73" s="281"/>
      <c r="M73" s="281"/>
      <c r="N73" s="185"/>
      <c r="O73" s="176"/>
      <c r="P73" s="183"/>
      <c r="Q73" s="183"/>
      <c r="R73" s="291"/>
    </row>
    <row r="74" spans="2:22">
      <c r="B74" s="97"/>
      <c r="C74" s="98"/>
      <c r="D74" s="98"/>
      <c r="E74" s="98"/>
      <c r="F74" s="98"/>
      <c r="G74" s="99"/>
      <c r="H74" s="3"/>
      <c r="I74" s="8"/>
      <c r="J74" s="50"/>
      <c r="K74" s="95"/>
      <c r="L74" s="95"/>
      <c r="M74" s="95"/>
      <c r="N74" s="185"/>
      <c r="O74" s="176" t="s">
        <v>349</v>
      </c>
      <c r="P74" s="183">
        <f>K66+K83+K104+K161+K183+K201+K219+K240+K263+K281+K299</f>
        <v>0</v>
      </c>
      <c r="Q74" s="183">
        <f>L66+L83+L104+L161+L183+L201+L219+L240+L263+L281+L299</f>
        <v>0</v>
      </c>
      <c r="R74" s="291">
        <f>M66+M83+M104+M161+M183+M201+M219+M240+M263+M281+M299</f>
        <v>0</v>
      </c>
    </row>
    <row r="75" spans="2:22">
      <c r="B75" s="490"/>
      <c r="C75" s="491"/>
      <c r="D75" s="491"/>
      <c r="E75" s="491"/>
      <c r="F75" s="491"/>
      <c r="G75" s="492"/>
      <c r="H75" s="3"/>
      <c r="I75" s="8"/>
      <c r="J75" s="181" t="s">
        <v>327</v>
      </c>
      <c r="K75" s="177">
        <f>SUM(K76:K84)</f>
        <v>26031</v>
      </c>
      <c r="L75" s="177">
        <f t="shared" ref="L75:M75" si="21">SUM(L76:L84)</f>
        <v>0</v>
      </c>
      <c r="M75" s="177">
        <f t="shared" si="21"/>
        <v>0</v>
      </c>
      <c r="N75" s="185"/>
      <c r="O75" s="176" t="s">
        <v>350</v>
      </c>
      <c r="P75" s="183">
        <f>K67+K84+K105+K162+K184+K202+K220+K241+K264+K282+K300+K122</f>
        <v>0</v>
      </c>
      <c r="Q75" s="183">
        <f>L67+L84+L105+L162+L184+L202+L220+L241+L264+L282+L300+L122</f>
        <v>0</v>
      </c>
      <c r="R75" s="291">
        <f>M67+M84+M105+M162+M184+M202+M220+M241+M264+M282+M300+M122</f>
        <v>0</v>
      </c>
    </row>
    <row r="76" spans="2:22" ht="15.75" thickBot="1">
      <c r="B76" s="97"/>
      <c r="C76" s="98"/>
      <c r="D76" s="98"/>
      <c r="E76" s="98"/>
      <c r="F76" s="98"/>
      <c r="G76" s="99"/>
      <c r="H76" s="3"/>
      <c r="I76" s="8"/>
      <c r="J76" s="176" t="s">
        <v>191</v>
      </c>
      <c r="K76" s="95"/>
      <c r="L76" s="95"/>
      <c r="M76" s="95"/>
      <c r="N76" s="185"/>
      <c r="O76" s="292" t="s">
        <v>384</v>
      </c>
      <c r="P76" s="293">
        <f>K153+K175+K193+K211+K232+K255+K273+K291</f>
        <v>0</v>
      </c>
      <c r="Q76" s="293">
        <f t="shared" ref="Q76:R76" si="22">L153+L175+L193+L211+L232+L255+L273+L291</f>
        <v>0</v>
      </c>
      <c r="R76" s="294">
        <f t="shared" si="22"/>
        <v>0</v>
      </c>
    </row>
    <row r="77" spans="2:22">
      <c r="B77" s="97"/>
      <c r="C77" s="98"/>
      <c r="D77" s="98"/>
      <c r="E77" s="98"/>
      <c r="F77" s="98"/>
      <c r="G77" s="99"/>
      <c r="H77" s="3"/>
      <c r="I77" s="8"/>
      <c r="J77" s="176" t="s">
        <v>341</v>
      </c>
      <c r="K77" s="194"/>
      <c r="L77" s="194"/>
      <c r="M77" s="194"/>
      <c r="N77" s="90"/>
      <c r="O77" s="86"/>
      <c r="P77" s="86">
        <f>SUM(P56:P76)</f>
        <v>14117018.93</v>
      </c>
      <c r="Q77" s="86">
        <f>SUM(Q56:Q76)</f>
        <v>16011384.73</v>
      </c>
      <c r="R77" s="86">
        <f>SUM(R56:R76)</f>
        <v>15723500.700000001</v>
      </c>
    </row>
    <row r="78" spans="2:22">
      <c r="B78" s="106"/>
      <c r="C78" s="107"/>
      <c r="D78" s="107"/>
      <c r="E78" s="107"/>
      <c r="F78" s="107"/>
      <c r="G78" s="108"/>
      <c r="H78" s="3"/>
      <c r="I78" s="8"/>
      <c r="J78" s="176" t="s">
        <v>192</v>
      </c>
      <c r="K78" s="177"/>
      <c r="L78" s="177"/>
      <c r="M78" s="177"/>
      <c r="N78" s="110"/>
      <c r="O78" s="86"/>
      <c r="P78" s="86">
        <f>K30+K28-P77</f>
        <v>0</v>
      </c>
      <c r="Q78" s="86">
        <f>L30-Q77</f>
        <v>0</v>
      </c>
      <c r="R78" s="86">
        <f>M30-R77</f>
        <v>0</v>
      </c>
    </row>
    <row r="79" spans="2:22">
      <c r="B79" s="490"/>
      <c r="C79" s="491"/>
      <c r="D79" s="491"/>
      <c r="E79" s="491"/>
      <c r="F79" s="491"/>
      <c r="G79" s="492"/>
      <c r="H79" s="3"/>
      <c r="I79" s="8"/>
      <c r="J79" s="176" t="s">
        <v>328</v>
      </c>
      <c r="K79" s="194"/>
      <c r="L79" s="109"/>
      <c r="M79" s="109"/>
      <c r="N79" s="51"/>
      <c r="O79" s="86"/>
      <c r="P79" s="86"/>
      <c r="Q79" s="86"/>
    </row>
    <row r="80" spans="2:22">
      <c r="B80" s="490"/>
      <c r="C80" s="491"/>
      <c r="D80" s="491"/>
      <c r="E80" s="491"/>
      <c r="F80" s="491"/>
      <c r="G80" s="492"/>
      <c r="H80" s="3"/>
      <c r="I80" s="8"/>
      <c r="J80" s="176" t="s">
        <v>193</v>
      </c>
      <c r="K80" s="194">
        <v>26031</v>
      </c>
      <c r="L80" s="177"/>
      <c r="M80" s="177"/>
      <c r="N80" s="51"/>
      <c r="O80" s="86"/>
      <c r="P80" s="86"/>
      <c r="Q80" s="86"/>
    </row>
    <row r="81" spans="1:71">
      <c r="B81" s="490"/>
      <c r="C81" s="491"/>
      <c r="D81" s="491"/>
      <c r="E81" s="491"/>
      <c r="F81" s="491"/>
      <c r="G81" s="492"/>
      <c r="H81" s="3"/>
      <c r="I81" s="8"/>
      <c r="J81" s="176" t="s">
        <v>343</v>
      </c>
      <c r="K81" s="44"/>
      <c r="L81" s="109"/>
      <c r="M81" s="109"/>
      <c r="N81" s="51"/>
      <c r="O81" s="86"/>
      <c r="P81" s="86"/>
      <c r="Q81" s="86"/>
    </row>
    <row r="82" spans="1:71">
      <c r="B82" s="186"/>
      <c r="C82" s="187"/>
      <c r="D82" s="187"/>
      <c r="E82" s="187"/>
      <c r="F82" s="187"/>
      <c r="G82" s="187"/>
      <c r="H82" s="3"/>
      <c r="I82" s="8"/>
      <c r="J82" s="176" t="s">
        <v>344</v>
      </c>
      <c r="K82" s="177"/>
      <c r="L82" s="177"/>
      <c r="M82" s="177"/>
      <c r="N82" s="110"/>
      <c r="O82" s="86"/>
      <c r="P82" s="86"/>
      <c r="Q82" s="86"/>
    </row>
    <row r="83" spans="1:71">
      <c r="B83" s="186"/>
      <c r="C83" s="187"/>
      <c r="D83" s="187"/>
      <c r="E83" s="187"/>
      <c r="F83" s="187"/>
      <c r="G83" s="187"/>
      <c r="H83" s="3"/>
      <c r="I83" s="8"/>
      <c r="J83" s="176" t="s">
        <v>349</v>
      </c>
      <c r="K83" s="109"/>
      <c r="L83" s="109"/>
      <c r="M83" s="109"/>
      <c r="N83" s="110"/>
      <c r="O83" s="86"/>
      <c r="P83" s="86"/>
      <c r="Q83" s="86"/>
    </row>
    <row r="84" spans="1:71">
      <c r="B84" s="186"/>
      <c r="C84" s="187"/>
      <c r="D84" s="187"/>
      <c r="E84" s="187"/>
      <c r="F84" s="187"/>
      <c r="G84" s="187"/>
      <c r="H84" s="3"/>
      <c r="I84" s="8"/>
      <c r="J84" s="176" t="s">
        <v>350</v>
      </c>
      <c r="K84" s="194"/>
      <c r="L84" s="194"/>
      <c r="M84" s="194"/>
      <c r="N84" s="110"/>
      <c r="O84" s="86"/>
      <c r="P84" s="86"/>
      <c r="Q84" s="86"/>
    </row>
    <row r="85" spans="1:71">
      <c r="B85" s="186"/>
      <c r="C85" s="187"/>
      <c r="D85" s="187"/>
      <c r="E85" s="187"/>
      <c r="F85" s="187"/>
      <c r="G85" s="187"/>
      <c r="H85" s="3"/>
      <c r="I85" s="8"/>
      <c r="J85" s="176"/>
      <c r="K85" s="281"/>
      <c r="L85" s="281"/>
      <c r="M85" s="281"/>
      <c r="N85" s="280"/>
      <c r="O85" s="86"/>
      <c r="P85" s="86"/>
      <c r="Q85" s="86"/>
    </row>
    <row r="86" spans="1:71">
      <c r="B86" s="186"/>
      <c r="C86" s="187"/>
      <c r="D86" s="187"/>
      <c r="E86" s="187"/>
      <c r="F86" s="187"/>
      <c r="G86" s="187"/>
      <c r="H86" s="3"/>
      <c r="I86" s="8"/>
      <c r="J86" s="176"/>
      <c r="K86" s="281"/>
      <c r="L86" s="281"/>
      <c r="M86" s="281"/>
      <c r="N86" s="280"/>
      <c r="O86" s="86"/>
      <c r="P86" s="86"/>
      <c r="Q86" s="86"/>
    </row>
    <row r="87" spans="1:71">
      <c r="B87" s="186"/>
      <c r="C87" s="187"/>
      <c r="D87" s="187"/>
      <c r="E87" s="187"/>
      <c r="F87" s="187"/>
      <c r="G87" s="187"/>
      <c r="H87" s="3"/>
      <c r="I87" s="8"/>
      <c r="J87" s="176"/>
      <c r="K87" s="281"/>
      <c r="L87" s="281"/>
      <c r="M87" s="281"/>
      <c r="N87" s="280"/>
      <c r="O87" s="86"/>
      <c r="P87" s="86"/>
      <c r="Q87" s="86"/>
    </row>
    <row r="88" spans="1:71">
      <c r="B88" s="186"/>
      <c r="C88" s="187"/>
      <c r="D88" s="187"/>
      <c r="E88" s="187"/>
      <c r="F88" s="187"/>
      <c r="G88" s="187"/>
      <c r="H88" s="3"/>
      <c r="I88" s="8"/>
      <c r="J88" s="176"/>
      <c r="K88" s="281"/>
      <c r="L88" s="281"/>
      <c r="M88" s="281"/>
      <c r="N88" s="280"/>
      <c r="O88" s="86"/>
      <c r="P88" s="86"/>
      <c r="Q88" s="86"/>
    </row>
    <row r="89" spans="1:71">
      <c r="B89" s="186"/>
      <c r="C89" s="187"/>
      <c r="D89" s="187"/>
      <c r="E89" s="187"/>
      <c r="F89" s="187"/>
      <c r="G89" s="187"/>
      <c r="H89" s="3"/>
      <c r="I89" s="8"/>
      <c r="J89" s="50"/>
      <c r="K89" s="109"/>
      <c r="L89" s="109"/>
      <c r="M89" s="109"/>
      <c r="N89" s="110"/>
      <c r="O89" s="86"/>
      <c r="P89" s="86"/>
      <c r="Q89" s="86"/>
    </row>
    <row r="90" spans="1:71">
      <c r="B90" s="186"/>
      <c r="C90" s="187"/>
      <c r="D90" s="187"/>
      <c r="E90" s="187"/>
      <c r="F90" s="187"/>
      <c r="G90" s="187"/>
      <c r="H90" s="3"/>
      <c r="I90" s="8"/>
      <c r="J90" s="50"/>
      <c r="K90" s="109"/>
      <c r="L90" s="109"/>
      <c r="M90" s="109"/>
      <c r="N90" s="110"/>
      <c r="O90" s="86"/>
      <c r="P90" s="86"/>
      <c r="Q90" s="86"/>
    </row>
    <row r="91" spans="1:71" s="38" customFormat="1">
      <c r="A91" s="42"/>
      <c r="B91" s="517" t="s">
        <v>62</v>
      </c>
      <c r="C91" s="518"/>
      <c r="D91" s="518"/>
      <c r="E91" s="518"/>
      <c r="F91" s="518"/>
      <c r="G91" s="518"/>
      <c r="H91" s="36" t="s">
        <v>63</v>
      </c>
      <c r="I91" s="37" t="s">
        <v>64</v>
      </c>
      <c r="J91" s="55"/>
      <c r="K91" s="45">
        <f>K92</f>
        <v>0</v>
      </c>
      <c r="L91" s="45">
        <f t="shared" ref="L91:M91" si="23">L92</f>
        <v>0</v>
      </c>
      <c r="M91" s="45">
        <f t="shared" si="23"/>
        <v>0</v>
      </c>
      <c r="N91" s="56" t="s">
        <v>21</v>
      </c>
      <c r="O91" s="86"/>
      <c r="P91" s="86"/>
      <c r="Q91" s="86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</row>
    <row r="92" spans="1:71" s="42" customFormat="1">
      <c r="B92" s="69"/>
      <c r="C92" s="39"/>
      <c r="D92" s="39"/>
      <c r="E92" s="39"/>
      <c r="F92" s="39"/>
      <c r="G92" s="39"/>
      <c r="H92" s="40"/>
      <c r="I92" s="41"/>
      <c r="J92" s="181"/>
      <c r="K92" s="182">
        <f>K93</f>
        <v>0</v>
      </c>
      <c r="L92" s="182">
        <f t="shared" ref="L92:M92" si="24">L93</f>
        <v>0</v>
      </c>
      <c r="M92" s="182">
        <f t="shared" si="24"/>
        <v>0</v>
      </c>
      <c r="N92" s="57"/>
      <c r="O92" s="87"/>
      <c r="P92" s="87"/>
      <c r="Q92" s="87"/>
    </row>
    <row r="93" spans="1:71" s="42" customFormat="1">
      <c r="B93" s="69"/>
      <c r="C93" s="39"/>
      <c r="D93" s="39"/>
      <c r="E93" s="39"/>
      <c r="F93" s="39"/>
      <c r="G93" s="39"/>
      <c r="H93" s="40"/>
      <c r="I93" s="41"/>
      <c r="J93" s="176" t="s">
        <v>341</v>
      </c>
      <c r="K93" s="46"/>
      <c r="L93" s="46"/>
      <c r="M93" s="46"/>
      <c r="N93" s="57"/>
      <c r="O93" s="84"/>
      <c r="P93" s="84"/>
      <c r="Q93" s="84"/>
    </row>
    <row r="94" spans="1:71" s="38" customFormat="1" ht="24" customHeight="1">
      <c r="A94" s="42"/>
      <c r="B94" s="519" t="s">
        <v>65</v>
      </c>
      <c r="C94" s="520"/>
      <c r="D94" s="520"/>
      <c r="E94" s="520"/>
      <c r="F94" s="520"/>
      <c r="G94" s="520"/>
      <c r="H94" s="36" t="s">
        <v>66</v>
      </c>
      <c r="I94" s="37" t="s">
        <v>67</v>
      </c>
      <c r="J94" s="55"/>
      <c r="K94" s="45">
        <f>K95+K114</f>
        <v>2445912</v>
      </c>
      <c r="L94" s="45">
        <f t="shared" ref="L94:M94" si="25">L95+L114</f>
        <v>2634160</v>
      </c>
      <c r="M94" s="45">
        <f t="shared" si="25"/>
        <v>2686336</v>
      </c>
      <c r="N94" s="56" t="s">
        <v>21</v>
      </c>
      <c r="O94" s="84"/>
      <c r="P94" s="84"/>
      <c r="Q94" s="84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</row>
    <row r="95" spans="1:71" s="74" customFormat="1">
      <c r="B95" s="521" t="s">
        <v>68</v>
      </c>
      <c r="C95" s="522"/>
      <c r="D95" s="522"/>
      <c r="E95" s="522"/>
      <c r="F95" s="522"/>
      <c r="G95" s="522"/>
      <c r="H95" s="75" t="s">
        <v>69</v>
      </c>
      <c r="I95" s="76" t="s">
        <v>67</v>
      </c>
      <c r="J95" s="77"/>
      <c r="K95" s="78">
        <f>K96</f>
        <v>2445912</v>
      </c>
      <c r="L95" s="78">
        <f t="shared" ref="L95:M95" si="26">L96</f>
        <v>2634160</v>
      </c>
      <c r="M95" s="78">
        <f t="shared" si="26"/>
        <v>2686336</v>
      </c>
      <c r="N95" s="79" t="s">
        <v>21</v>
      </c>
      <c r="O95" s="84"/>
      <c r="P95" s="84"/>
      <c r="Q95" s="84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</row>
    <row r="96" spans="1:71">
      <c r="B96" s="490"/>
      <c r="C96" s="491"/>
      <c r="D96" s="491"/>
      <c r="E96" s="491"/>
      <c r="F96" s="491"/>
      <c r="G96" s="492"/>
      <c r="H96" s="5"/>
      <c r="I96" s="10"/>
      <c r="J96" s="181" t="s">
        <v>340</v>
      </c>
      <c r="K96" s="177">
        <f>SUM(K97:K106)</f>
        <v>2445912</v>
      </c>
      <c r="L96" s="177">
        <f t="shared" ref="L96" si="27">SUM(L97:L106)</f>
        <v>2634160</v>
      </c>
      <c r="M96" s="177">
        <f t="shared" ref="M96" si="28">SUM(M97:M106)</f>
        <v>2686336</v>
      </c>
      <c r="N96" s="51"/>
    </row>
    <row r="97" spans="2:14">
      <c r="B97" s="97"/>
      <c r="C97" s="98"/>
      <c r="D97" s="98"/>
      <c r="E97" s="98"/>
      <c r="F97" s="98"/>
      <c r="G97" s="99"/>
      <c r="H97" s="93"/>
      <c r="I97" s="94"/>
      <c r="J97" s="176" t="s">
        <v>191</v>
      </c>
      <c r="K97" s="195">
        <v>50132</v>
      </c>
      <c r="L97" s="195">
        <v>50132</v>
      </c>
      <c r="M97" s="195">
        <v>50132</v>
      </c>
      <c r="N97" s="90"/>
    </row>
    <row r="98" spans="2:14">
      <c r="B98" s="490"/>
      <c r="C98" s="491"/>
      <c r="D98" s="491"/>
      <c r="E98" s="491"/>
      <c r="F98" s="491"/>
      <c r="G98" s="492"/>
      <c r="H98" s="5"/>
      <c r="I98" s="10"/>
      <c r="J98" s="176" t="s">
        <v>341</v>
      </c>
      <c r="K98" s="339">
        <v>386582</v>
      </c>
      <c r="L98" s="339">
        <v>390915</v>
      </c>
      <c r="M98" s="339">
        <v>408424</v>
      </c>
      <c r="N98" s="51"/>
    </row>
    <row r="99" spans="2:14">
      <c r="B99" s="97"/>
      <c r="C99" s="98"/>
      <c r="D99" s="98"/>
      <c r="E99" s="98"/>
      <c r="F99" s="98"/>
      <c r="G99" s="99"/>
      <c r="H99" s="93"/>
      <c r="I99" s="94"/>
      <c r="J99" s="176" t="s">
        <v>192</v>
      </c>
      <c r="K99" s="339">
        <v>2340</v>
      </c>
      <c r="L99" s="339">
        <v>2340</v>
      </c>
      <c r="M99" s="339">
        <v>2340</v>
      </c>
      <c r="N99" s="90"/>
    </row>
    <row r="100" spans="2:14">
      <c r="B100" s="490"/>
      <c r="C100" s="491"/>
      <c r="D100" s="491"/>
      <c r="E100" s="491"/>
      <c r="F100" s="491"/>
      <c r="G100" s="492"/>
      <c r="H100" s="5"/>
      <c r="I100" s="10"/>
      <c r="J100" s="176" t="s">
        <v>328</v>
      </c>
      <c r="K100" s="339">
        <v>44459</v>
      </c>
      <c r="L100" s="339">
        <v>44459</v>
      </c>
      <c r="M100" s="339">
        <v>44459</v>
      </c>
      <c r="N100" s="51"/>
    </row>
    <row r="101" spans="2:14">
      <c r="B101" s="97"/>
      <c r="C101" s="98"/>
      <c r="D101" s="98"/>
      <c r="E101" s="98"/>
      <c r="F101" s="98"/>
      <c r="G101" s="99"/>
      <c r="H101" s="93"/>
      <c r="I101" s="94"/>
      <c r="J101" s="176" t="s">
        <v>193</v>
      </c>
      <c r="K101" s="339">
        <v>1763079</v>
      </c>
      <c r="L101" s="339">
        <v>1946994</v>
      </c>
      <c r="M101" s="339">
        <v>1981661</v>
      </c>
      <c r="N101" s="90"/>
    </row>
    <row r="102" spans="2:14">
      <c r="B102" s="490"/>
      <c r="C102" s="491"/>
      <c r="D102" s="491"/>
      <c r="E102" s="491"/>
      <c r="F102" s="491"/>
      <c r="G102" s="492"/>
      <c r="H102" s="5"/>
      <c r="I102" s="10"/>
      <c r="J102" s="176" t="s">
        <v>343</v>
      </c>
      <c r="K102" s="195"/>
      <c r="L102" s="195"/>
      <c r="M102" s="195"/>
      <c r="N102" s="51"/>
    </row>
    <row r="103" spans="2:14">
      <c r="B103" s="97"/>
      <c r="C103" s="98"/>
      <c r="D103" s="98"/>
      <c r="E103" s="98"/>
      <c r="F103" s="98"/>
      <c r="G103" s="99"/>
      <c r="H103" s="93"/>
      <c r="I103" s="94"/>
      <c r="J103" s="176" t="s">
        <v>344</v>
      </c>
      <c r="K103" s="195"/>
      <c r="L103" s="195"/>
      <c r="M103" s="195"/>
      <c r="N103" s="90"/>
    </row>
    <row r="104" spans="2:14">
      <c r="B104" s="490"/>
      <c r="C104" s="491"/>
      <c r="D104" s="491"/>
      <c r="E104" s="491"/>
      <c r="F104" s="491"/>
      <c r="G104" s="492"/>
      <c r="H104" s="5"/>
      <c r="I104" s="10"/>
      <c r="J104" s="176" t="s">
        <v>349</v>
      </c>
      <c r="K104" s="195"/>
      <c r="L104" s="195"/>
      <c r="M104" s="195"/>
      <c r="N104" s="51"/>
    </row>
    <row r="105" spans="2:14">
      <c r="B105" s="490"/>
      <c r="C105" s="491"/>
      <c r="D105" s="491"/>
      <c r="E105" s="491"/>
      <c r="F105" s="491"/>
      <c r="G105" s="492"/>
      <c r="H105" s="5"/>
      <c r="I105" s="10"/>
      <c r="J105" s="176" t="s">
        <v>350</v>
      </c>
      <c r="K105" s="195"/>
      <c r="L105" s="195"/>
      <c r="M105" s="195"/>
      <c r="N105" s="51"/>
    </row>
    <row r="106" spans="2:14">
      <c r="B106" s="106"/>
      <c r="C106" s="107"/>
      <c r="D106" s="107"/>
      <c r="E106" s="107"/>
      <c r="F106" s="107"/>
      <c r="G106" s="108"/>
      <c r="H106" s="111"/>
      <c r="I106" s="112"/>
      <c r="J106" s="176" t="s">
        <v>431</v>
      </c>
      <c r="K106" s="339">
        <v>199320</v>
      </c>
      <c r="L106" s="339">
        <v>199320</v>
      </c>
      <c r="M106" s="339">
        <v>199320</v>
      </c>
      <c r="N106" s="110"/>
    </row>
    <row r="107" spans="2:14">
      <c r="B107" s="106"/>
      <c r="C107" s="107"/>
      <c r="D107" s="107"/>
      <c r="E107" s="107"/>
      <c r="F107" s="107"/>
      <c r="G107" s="108"/>
      <c r="H107" s="111"/>
      <c r="I107" s="112"/>
      <c r="J107" s="50"/>
      <c r="K107" s="109"/>
      <c r="L107" s="109"/>
      <c r="M107" s="109"/>
      <c r="N107" s="110"/>
    </row>
    <row r="108" spans="2:14">
      <c r="B108" s="490"/>
      <c r="C108" s="491"/>
      <c r="D108" s="491"/>
      <c r="E108" s="491"/>
      <c r="F108" s="491"/>
      <c r="G108" s="492"/>
      <c r="H108" s="5"/>
      <c r="I108" s="10"/>
      <c r="J108" s="181"/>
      <c r="K108" s="177"/>
      <c r="L108" s="177"/>
      <c r="M108" s="177"/>
      <c r="N108" s="51"/>
    </row>
    <row r="109" spans="2:14">
      <c r="B109" s="490"/>
      <c r="C109" s="491"/>
      <c r="D109" s="491"/>
      <c r="E109" s="491"/>
      <c r="F109" s="491"/>
      <c r="G109" s="492"/>
      <c r="H109" s="5"/>
      <c r="I109" s="10"/>
      <c r="J109" s="50"/>
      <c r="K109" s="109"/>
      <c r="L109" s="109"/>
      <c r="M109" s="109"/>
      <c r="N109" s="51"/>
    </row>
    <row r="110" spans="2:14">
      <c r="B110" s="186"/>
      <c r="C110" s="187"/>
      <c r="D110" s="187"/>
      <c r="E110" s="187"/>
      <c r="F110" s="187"/>
      <c r="G110" s="187"/>
      <c r="H110" s="111"/>
      <c r="I110" s="112"/>
      <c r="J110" s="181"/>
      <c r="K110" s="177"/>
      <c r="L110" s="177"/>
      <c r="M110" s="177"/>
      <c r="N110" s="110"/>
    </row>
    <row r="111" spans="2:14">
      <c r="B111" s="186"/>
      <c r="C111" s="187"/>
      <c r="D111" s="187"/>
      <c r="E111" s="187"/>
      <c r="F111" s="187"/>
      <c r="G111" s="187"/>
      <c r="H111" s="111"/>
      <c r="I111" s="112"/>
      <c r="J111" s="50"/>
      <c r="K111" s="109"/>
      <c r="L111" s="109"/>
      <c r="M111" s="109"/>
      <c r="N111" s="110"/>
    </row>
    <row r="112" spans="2:14">
      <c r="B112" s="186"/>
      <c r="C112" s="187"/>
      <c r="D112" s="187"/>
      <c r="E112" s="187"/>
      <c r="F112" s="187"/>
      <c r="G112" s="187"/>
      <c r="H112" s="111"/>
      <c r="I112" s="112"/>
      <c r="J112" s="181"/>
      <c r="K112" s="177"/>
      <c r="L112" s="177"/>
      <c r="M112" s="177"/>
      <c r="N112" s="110"/>
    </row>
    <row r="113" spans="1:71">
      <c r="B113" s="186"/>
      <c r="C113" s="187"/>
      <c r="D113" s="187"/>
      <c r="E113" s="187"/>
      <c r="F113" s="187"/>
      <c r="G113" s="187"/>
      <c r="H113" s="111"/>
      <c r="I113" s="112"/>
      <c r="J113" s="50"/>
      <c r="K113" s="109"/>
      <c r="L113" s="109"/>
      <c r="M113" s="109"/>
      <c r="N113" s="110"/>
    </row>
    <row r="114" spans="1:71" s="74" customFormat="1">
      <c r="B114" s="511" t="s">
        <v>70</v>
      </c>
      <c r="C114" s="512"/>
      <c r="D114" s="512"/>
      <c r="E114" s="512"/>
      <c r="F114" s="512"/>
      <c r="G114" s="512"/>
      <c r="H114" s="80" t="s">
        <v>71</v>
      </c>
      <c r="I114" s="81" t="s">
        <v>67</v>
      </c>
      <c r="J114" s="77"/>
      <c r="K114" s="78">
        <f>K115+K116+K117</f>
        <v>0</v>
      </c>
      <c r="L114" s="78">
        <f t="shared" ref="L114:M114" si="29">L115+L116+L117</f>
        <v>0</v>
      </c>
      <c r="M114" s="78">
        <f t="shared" si="29"/>
        <v>0</v>
      </c>
      <c r="N114" s="79" t="s">
        <v>21</v>
      </c>
      <c r="O114" s="84"/>
      <c r="P114" s="84"/>
      <c r="Q114" s="84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:71">
      <c r="B115" s="490"/>
      <c r="C115" s="491"/>
      <c r="D115" s="491"/>
      <c r="E115" s="491"/>
      <c r="F115" s="491"/>
      <c r="G115" s="492"/>
      <c r="H115" s="72"/>
      <c r="I115" s="73"/>
      <c r="J115" s="50"/>
      <c r="K115" s="44"/>
      <c r="L115" s="44"/>
      <c r="M115" s="44"/>
      <c r="N115" s="51"/>
    </row>
    <row r="116" spans="1:71">
      <c r="B116" s="490"/>
      <c r="C116" s="491"/>
      <c r="D116" s="491"/>
      <c r="E116" s="491"/>
      <c r="F116" s="491"/>
      <c r="G116" s="492"/>
      <c r="H116" s="5"/>
      <c r="I116" s="10"/>
      <c r="J116" s="54"/>
      <c r="K116" s="44"/>
      <c r="L116" s="44"/>
      <c r="M116" s="44"/>
      <c r="N116" s="51"/>
    </row>
    <row r="117" spans="1:71">
      <c r="B117" s="490"/>
      <c r="C117" s="491"/>
      <c r="D117" s="491"/>
      <c r="E117" s="491"/>
      <c r="F117" s="491"/>
      <c r="G117" s="492"/>
      <c r="H117" s="5"/>
      <c r="I117" s="10"/>
      <c r="J117" s="54"/>
      <c r="K117" s="44"/>
      <c r="L117" s="44"/>
      <c r="M117" s="44"/>
      <c r="N117" s="51"/>
    </row>
    <row r="118" spans="1:71" s="38" customFormat="1">
      <c r="A118" s="42"/>
      <c r="B118" s="513" t="s">
        <v>72</v>
      </c>
      <c r="C118" s="514"/>
      <c r="D118" s="514"/>
      <c r="E118" s="514"/>
      <c r="F118" s="514"/>
      <c r="G118" s="514"/>
      <c r="H118" s="36" t="s">
        <v>73</v>
      </c>
      <c r="I118" s="37" t="s">
        <v>74</v>
      </c>
      <c r="J118" s="55"/>
      <c r="K118" s="45">
        <f>K119+K124+K126</f>
        <v>225256</v>
      </c>
      <c r="L118" s="45">
        <f t="shared" ref="L118:M118" si="30">L119+L124+L126</f>
        <v>120396</v>
      </c>
      <c r="M118" s="45">
        <f t="shared" si="30"/>
        <v>225256</v>
      </c>
      <c r="N118" s="56" t="s">
        <v>21</v>
      </c>
      <c r="O118" s="84"/>
      <c r="P118" s="84"/>
      <c r="Q118" s="84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</row>
    <row r="119" spans="1:71" s="74" customFormat="1">
      <c r="B119" s="515" t="s">
        <v>75</v>
      </c>
      <c r="C119" s="516"/>
      <c r="D119" s="516"/>
      <c r="E119" s="516"/>
      <c r="F119" s="516"/>
      <c r="G119" s="516"/>
      <c r="H119" s="75" t="s">
        <v>76</v>
      </c>
      <c r="I119" s="76" t="s">
        <v>77</v>
      </c>
      <c r="J119" s="77"/>
      <c r="K119" s="78">
        <f>K120</f>
        <v>225256</v>
      </c>
      <c r="L119" s="78">
        <f t="shared" ref="L119:M119" si="31">L120</f>
        <v>120396</v>
      </c>
      <c r="M119" s="78">
        <f t="shared" si="31"/>
        <v>225256</v>
      </c>
      <c r="N119" s="79" t="s">
        <v>21</v>
      </c>
      <c r="O119" s="84"/>
      <c r="P119" s="84"/>
      <c r="Q119" s="84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</row>
    <row r="120" spans="1:71">
      <c r="B120" s="490"/>
      <c r="C120" s="491"/>
      <c r="D120" s="491"/>
      <c r="E120" s="491"/>
      <c r="F120" s="491"/>
      <c r="G120" s="492"/>
      <c r="H120" s="3"/>
      <c r="I120" s="8"/>
      <c r="J120" s="181" t="s">
        <v>351</v>
      </c>
      <c r="K120" s="177">
        <f>K122+K121+K123</f>
        <v>225256</v>
      </c>
      <c r="L120" s="177">
        <f t="shared" ref="L120:M120" si="32">L122+L121+L123</f>
        <v>120396</v>
      </c>
      <c r="M120" s="177">
        <f t="shared" si="32"/>
        <v>225256</v>
      </c>
      <c r="N120" s="51"/>
    </row>
    <row r="121" spans="1:71">
      <c r="B121" s="490"/>
      <c r="C121" s="491"/>
      <c r="D121" s="491"/>
      <c r="E121" s="491"/>
      <c r="F121" s="491"/>
      <c r="G121" s="492"/>
      <c r="H121" s="3"/>
      <c r="I121" s="8"/>
      <c r="J121" s="176" t="s">
        <v>341</v>
      </c>
      <c r="K121" s="339">
        <v>220751</v>
      </c>
      <c r="L121" s="339">
        <v>115891</v>
      </c>
      <c r="M121" s="339">
        <v>220751</v>
      </c>
      <c r="N121" s="51"/>
    </row>
    <row r="122" spans="1:71">
      <c r="B122" s="106"/>
      <c r="C122" s="107"/>
      <c r="D122" s="107"/>
      <c r="E122" s="107"/>
      <c r="F122" s="107"/>
      <c r="G122" s="108"/>
      <c r="H122" s="3"/>
      <c r="I122" s="8"/>
      <c r="J122" s="176" t="s">
        <v>350</v>
      </c>
      <c r="K122" s="195"/>
      <c r="L122" s="195"/>
      <c r="M122" s="195"/>
      <c r="N122" s="110"/>
    </row>
    <row r="123" spans="1:71">
      <c r="B123" s="490"/>
      <c r="C123" s="491"/>
      <c r="D123" s="491"/>
      <c r="E123" s="491"/>
      <c r="F123" s="491"/>
      <c r="G123" s="492"/>
      <c r="H123" s="3"/>
      <c r="I123" s="8"/>
      <c r="J123" s="176" t="s">
        <v>191</v>
      </c>
      <c r="K123" s="339">
        <v>4505</v>
      </c>
      <c r="L123" s="339">
        <v>4505</v>
      </c>
      <c r="M123" s="339">
        <v>4505</v>
      </c>
      <c r="N123" s="51"/>
    </row>
    <row r="124" spans="1:71" s="74" customFormat="1" ht="25.5" customHeight="1">
      <c r="B124" s="515" t="s">
        <v>78</v>
      </c>
      <c r="C124" s="516"/>
      <c r="D124" s="516"/>
      <c r="E124" s="516"/>
      <c r="F124" s="516"/>
      <c r="G124" s="516"/>
      <c r="H124" s="75" t="s">
        <v>79</v>
      </c>
      <c r="I124" s="76" t="s">
        <v>80</v>
      </c>
      <c r="J124" s="77"/>
      <c r="K124" s="78">
        <f>K125</f>
        <v>0</v>
      </c>
      <c r="L124" s="78">
        <f t="shared" ref="L124:M124" si="33">L125</f>
        <v>0</v>
      </c>
      <c r="M124" s="78">
        <f t="shared" si="33"/>
        <v>0</v>
      </c>
      <c r="N124" s="79" t="s">
        <v>21</v>
      </c>
      <c r="O124" s="84"/>
      <c r="P124" s="84"/>
      <c r="Q124" s="84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</row>
    <row r="125" spans="1:71">
      <c r="B125" s="490"/>
      <c r="C125" s="491"/>
      <c r="D125" s="491"/>
      <c r="E125" s="491"/>
      <c r="F125" s="491"/>
      <c r="G125" s="492"/>
      <c r="H125" s="3"/>
      <c r="I125" s="8"/>
      <c r="J125" s="54"/>
      <c r="K125" s="44"/>
      <c r="L125" s="44"/>
      <c r="M125" s="44"/>
      <c r="N125" s="51"/>
    </row>
    <row r="126" spans="1:71" s="74" customFormat="1" ht="21.75" customHeight="1">
      <c r="B126" s="515" t="s">
        <v>81</v>
      </c>
      <c r="C126" s="516"/>
      <c r="D126" s="516"/>
      <c r="E126" s="516"/>
      <c r="F126" s="516"/>
      <c r="G126" s="516"/>
      <c r="H126" s="75" t="s">
        <v>82</v>
      </c>
      <c r="I126" s="76" t="s">
        <v>83</v>
      </c>
      <c r="J126" s="77"/>
      <c r="K126" s="78">
        <f>K127</f>
        <v>0</v>
      </c>
      <c r="L126" s="78">
        <f t="shared" ref="L126:M126" si="34">L127</f>
        <v>0</v>
      </c>
      <c r="M126" s="78">
        <f t="shared" si="34"/>
        <v>0</v>
      </c>
      <c r="N126" s="79" t="s">
        <v>21</v>
      </c>
      <c r="O126" s="84"/>
      <c r="P126" s="84"/>
      <c r="Q126" s="84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</row>
    <row r="127" spans="1:71" s="218" customFormat="1">
      <c r="A127" s="217"/>
      <c r="B127" s="523" t="s">
        <v>393</v>
      </c>
      <c r="C127" s="524"/>
      <c r="D127" s="524"/>
      <c r="E127" s="524"/>
      <c r="F127" s="524"/>
      <c r="G127" s="525"/>
      <c r="H127" s="237">
        <v>2400</v>
      </c>
      <c r="I127" s="238"/>
      <c r="J127" s="239"/>
      <c r="K127" s="45"/>
      <c r="L127" s="45"/>
      <c r="M127" s="45"/>
      <c r="N127" s="56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</row>
    <row r="128" spans="1:71" s="218" customFormat="1">
      <c r="A128" s="217"/>
      <c r="B128" s="526" t="s">
        <v>394</v>
      </c>
      <c r="C128" s="527"/>
      <c r="D128" s="527"/>
      <c r="E128" s="527"/>
      <c r="F128" s="527"/>
      <c r="G128" s="528"/>
      <c r="H128" s="305">
        <v>2410</v>
      </c>
      <c r="I128" s="185"/>
      <c r="J128" s="303"/>
      <c r="K128" s="304"/>
      <c r="L128" s="304"/>
      <c r="M128" s="304"/>
      <c r="N128" s="302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</row>
    <row r="129" spans="1:71" s="218" customFormat="1">
      <c r="A129" s="217"/>
      <c r="B129" s="526" t="s">
        <v>395</v>
      </c>
      <c r="C129" s="527"/>
      <c r="D129" s="527"/>
      <c r="E129" s="527"/>
      <c r="F129" s="527"/>
      <c r="G129" s="528"/>
      <c r="H129" s="305">
        <v>2420</v>
      </c>
      <c r="I129" s="185"/>
      <c r="J129" s="303"/>
      <c r="K129" s="304"/>
      <c r="L129" s="304"/>
      <c r="M129" s="304"/>
      <c r="N129" s="302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</row>
    <row r="130" spans="1:71" s="38" customFormat="1">
      <c r="A130" s="42"/>
      <c r="B130" s="513" t="s">
        <v>84</v>
      </c>
      <c r="C130" s="514"/>
      <c r="D130" s="514"/>
      <c r="E130" s="514"/>
      <c r="F130" s="514"/>
      <c r="G130" s="514"/>
      <c r="H130" s="36" t="s">
        <v>85</v>
      </c>
      <c r="I130" s="37" t="s">
        <v>21</v>
      </c>
      <c r="J130" s="55"/>
      <c r="K130" s="45">
        <f>K131</f>
        <v>0</v>
      </c>
      <c r="L130" s="45">
        <f t="shared" ref="L130:M130" si="35">L131</f>
        <v>0</v>
      </c>
      <c r="M130" s="45">
        <f t="shared" si="35"/>
        <v>0</v>
      </c>
      <c r="N130" s="56" t="s">
        <v>21</v>
      </c>
      <c r="O130" s="84"/>
      <c r="P130" s="84"/>
      <c r="Q130" s="84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</row>
    <row r="131" spans="1:71" ht="40.5" customHeight="1">
      <c r="B131" s="488" t="s">
        <v>86</v>
      </c>
      <c r="C131" s="489"/>
      <c r="D131" s="489"/>
      <c r="E131" s="489"/>
      <c r="F131" s="489"/>
      <c r="G131" s="489"/>
      <c r="H131" s="3" t="s">
        <v>87</v>
      </c>
      <c r="I131" s="8" t="s">
        <v>88</v>
      </c>
      <c r="J131" s="54"/>
      <c r="K131" s="44"/>
      <c r="L131" s="44"/>
      <c r="M131" s="44"/>
      <c r="N131" s="51" t="s">
        <v>21</v>
      </c>
    </row>
    <row r="132" spans="1:71" s="38" customFormat="1">
      <c r="A132" s="42"/>
      <c r="B132" s="513" t="s">
        <v>89</v>
      </c>
      <c r="C132" s="514"/>
      <c r="D132" s="514"/>
      <c r="E132" s="514"/>
      <c r="F132" s="514"/>
      <c r="G132" s="514"/>
      <c r="H132" s="36" t="s">
        <v>90</v>
      </c>
      <c r="I132" s="37" t="s">
        <v>21</v>
      </c>
      <c r="J132" s="55"/>
      <c r="K132" s="45">
        <f>K133+K135+K140+K150</f>
        <v>3346805.9299999997</v>
      </c>
      <c r="L132" s="45">
        <f t="shared" ref="L132:M132" si="36">L133+L135+L140+L150</f>
        <v>4534443.7299999995</v>
      </c>
      <c r="M132" s="45">
        <f t="shared" si="36"/>
        <v>3916755.7</v>
      </c>
      <c r="N132" s="56"/>
      <c r="O132" s="84"/>
      <c r="P132" s="84"/>
      <c r="Q132" s="84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</row>
    <row r="133" spans="1:71" s="74" customFormat="1">
      <c r="B133" s="515" t="s">
        <v>91</v>
      </c>
      <c r="C133" s="516"/>
      <c r="D133" s="516"/>
      <c r="E133" s="516"/>
      <c r="F133" s="516"/>
      <c r="G133" s="516"/>
      <c r="H133" s="75" t="s">
        <v>92</v>
      </c>
      <c r="I133" s="76" t="s">
        <v>93</v>
      </c>
      <c r="J133" s="77"/>
      <c r="K133" s="78">
        <f>K134</f>
        <v>0</v>
      </c>
      <c r="L133" s="78">
        <f t="shared" ref="L133:M133" si="37">L134</f>
        <v>0</v>
      </c>
      <c r="M133" s="78">
        <f t="shared" si="37"/>
        <v>0</v>
      </c>
      <c r="N133" s="79"/>
      <c r="O133" s="84"/>
      <c r="P133" s="84"/>
      <c r="Q133" s="84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1:71">
      <c r="B134" s="490"/>
      <c r="C134" s="491"/>
      <c r="D134" s="491"/>
      <c r="E134" s="491"/>
      <c r="F134" s="491"/>
      <c r="G134" s="492"/>
      <c r="H134" s="3"/>
      <c r="I134" s="8"/>
      <c r="J134" s="54"/>
      <c r="K134" s="44"/>
      <c r="L134" s="44"/>
      <c r="M134" s="44"/>
      <c r="N134" s="51"/>
    </row>
    <row r="135" spans="1:71" s="74" customFormat="1" ht="28.5" customHeight="1">
      <c r="B135" s="515" t="s">
        <v>405</v>
      </c>
      <c r="C135" s="516"/>
      <c r="D135" s="516"/>
      <c r="E135" s="516"/>
      <c r="F135" s="516"/>
      <c r="G135" s="516"/>
      <c r="H135" s="247">
        <v>2620</v>
      </c>
      <c r="I135" s="79">
        <v>247</v>
      </c>
      <c r="J135" s="77"/>
      <c r="K135" s="78">
        <f>K136+K137+K138+K139</f>
        <v>561403.67000000004</v>
      </c>
      <c r="L135" s="78">
        <f t="shared" ref="L135:M135" si="38">L136+L137+L138+L139</f>
        <v>577099.67000000004</v>
      </c>
      <c r="M135" s="78">
        <f t="shared" si="38"/>
        <v>592741.67000000004</v>
      </c>
      <c r="N135" s="79"/>
      <c r="O135" s="84"/>
      <c r="P135" s="84"/>
      <c r="Q135" s="84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</row>
    <row r="136" spans="1:71" ht="15.75" customHeight="1">
      <c r="B136" s="490"/>
      <c r="C136" s="491"/>
      <c r="D136" s="491"/>
      <c r="E136" s="491"/>
      <c r="F136" s="491"/>
      <c r="G136" s="492"/>
      <c r="H136" s="6"/>
      <c r="I136" s="11"/>
      <c r="J136" s="311">
        <v>223</v>
      </c>
      <c r="K136" s="44"/>
      <c r="L136" s="44"/>
      <c r="M136" s="44"/>
      <c r="N136" s="51"/>
    </row>
    <row r="137" spans="1:71" ht="15.75" customHeight="1">
      <c r="B137" s="490"/>
      <c r="C137" s="491"/>
      <c r="D137" s="491"/>
      <c r="E137" s="491"/>
      <c r="F137" s="491"/>
      <c r="G137" s="492"/>
      <c r="H137" s="306"/>
      <c r="I137" s="307"/>
      <c r="J137" s="176" t="s">
        <v>191</v>
      </c>
      <c r="K137" s="339">
        <v>161861.67000000001</v>
      </c>
      <c r="L137" s="339">
        <v>161861.67000000001</v>
      </c>
      <c r="M137" s="339">
        <v>161861.67000000001</v>
      </c>
      <c r="N137" s="302"/>
    </row>
    <row r="138" spans="1:71" ht="15.75" customHeight="1">
      <c r="B138" s="490"/>
      <c r="C138" s="491"/>
      <c r="D138" s="491"/>
      <c r="E138" s="491"/>
      <c r="F138" s="491"/>
      <c r="G138" s="492"/>
      <c r="H138" s="306"/>
      <c r="I138" s="307"/>
      <c r="J138" s="176" t="s">
        <v>341</v>
      </c>
      <c r="K138" s="339">
        <v>399542</v>
      </c>
      <c r="L138" s="339">
        <v>415238</v>
      </c>
      <c r="M138" s="339">
        <v>430880</v>
      </c>
      <c r="N138" s="302"/>
    </row>
    <row r="139" spans="1:71" ht="15.75" customHeight="1">
      <c r="B139" s="490"/>
      <c r="C139" s="491"/>
      <c r="D139" s="491"/>
      <c r="E139" s="491"/>
      <c r="F139" s="491"/>
      <c r="G139" s="492"/>
      <c r="H139" s="306"/>
      <c r="I139" s="307"/>
      <c r="J139" s="311"/>
      <c r="K139" s="304"/>
      <c r="L139" s="304"/>
      <c r="M139" s="304"/>
      <c r="N139" s="302"/>
    </row>
    <row r="140" spans="1:71" s="74" customFormat="1" ht="24" customHeight="1">
      <c r="B140" s="515" t="s">
        <v>94</v>
      </c>
      <c r="C140" s="516"/>
      <c r="D140" s="516"/>
      <c r="E140" s="516"/>
      <c r="F140" s="516"/>
      <c r="G140" s="516"/>
      <c r="H140" s="82" t="s">
        <v>95</v>
      </c>
      <c r="I140" s="83" t="s">
        <v>96</v>
      </c>
      <c r="J140" s="77"/>
      <c r="K140" s="78">
        <f>K141</f>
        <v>0</v>
      </c>
      <c r="L140" s="78">
        <f t="shared" ref="L140:M140" si="39">L141</f>
        <v>0</v>
      </c>
      <c r="M140" s="78">
        <f t="shared" si="39"/>
        <v>0</v>
      </c>
      <c r="N140" s="79"/>
      <c r="O140" s="84"/>
      <c r="P140" s="84"/>
      <c r="Q140" s="84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</row>
    <row r="141" spans="1:71">
      <c r="B141" s="490"/>
      <c r="C141" s="491"/>
      <c r="D141" s="491"/>
      <c r="E141" s="491"/>
      <c r="F141" s="491"/>
      <c r="G141" s="492"/>
      <c r="H141" s="6"/>
      <c r="I141" s="11"/>
      <c r="J141" s="181" t="s">
        <v>321</v>
      </c>
      <c r="K141" s="177">
        <f>K142</f>
        <v>0</v>
      </c>
      <c r="L141" s="177">
        <f t="shared" ref="L141:M141" si="40">L142</f>
        <v>0</v>
      </c>
      <c r="M141" s="177">
        <f t="shared" si="40"/>
        <v>0</v>
      </c>
      <c r="N141" s="51"/>
    </row>
    <row r="142" spans="1:71">
      <c r="B142" s="490"/>
      <c r="C142" s="491"/>
      <c r="D142" s="491"/>
      <c r="E142" s="491"/>
      <c r="F142" s="491"/>
      <c r="G142" s="492"/>
      <c r="H142" s="6"/>
      <c r="I142" s="11"/>
      <c r="J142" s="181">
        <v>1211121130</v>
      </c>
      <c r="K142" s="44"/>
      <c r="L142" s="44"/>
      <c r="M142" s="44"/>
      <c r="N142" s="51"/>
    </row>
    <row r="143" spans="1:71">
      <c r="B143" s="490"/>
      <c r="C143" s="491"/>
      <c r="D143" s="491"/>
      <c r="E143" s="491"/>
      <c r="F143" s="491"/>
      <c r="G143" s="492"/>
      <c r="H143" s="6"/>
      <c r="I143" s="11"/>
      <c r="J143" s="50"/>
      <c r="K143" s="44"/>
      <c r="L143" s="44"/>
      <c r="M143" s="44"/>
      <c r="N143" s="51"/>
    </row>
    <row r="144" spans="1:71">
      <c r="B144" s="490"/>
      <c r="C144" s="491"/>
      <c r="D144" s="491"/>
      <c r="E144" s="491"/>
      <c r="F144" s="491"/>
      <c r="G144" s="492"/>
      <c r="H144" s="6"/>
      <c r="I144" s="11"/>
      <c r="J144" s="50"/>
      <c r="K144" s="44"/>
      <c r="L144" s="44"/>
      <c r="M144" s="44"/>
      <c r="N144" s="51"/>
    </row>
    <row r="145" spans="2:51">
      <c r="B145" s="490"/>
      <c r="C145" s="491"/>
      <c r="D145" s="491"/>
      <c r="E145" s="491"/>
      <c r="F145" s="491"/>
      <c r="G145" s="492"/>
      <c r="H145" s="6"/>
      <c r="I145" s="11"/>
      <c r="J145" s="50"/>
      <c r="K145" s="44"/>
      <c r="L145" s="44"/>
      <c r="M145" s="44"/>
      <c r="N145" s="51"/>
    </row>
    <row r="146" spans="2:51">
      <c r="B146" s="490"/>
      <c r="C146" s="491"/>
      <c r="D146" s="491"/>
      <c r="E146" s="491"/>
      <c r="F146" s="491"/>
      <c r="G146" s="492"/>
      <c r="H146" s="6"/>
      <c r="I146" s="11"/>
      <c r="J146" s="50"/>
      <c r="K146" s="44"/>
      <c r="L146" s="44"/>
      <c r="M146" s="44"/>
      <c r="N146" s="51"/>
    </row>
    <row r="147" spans="2:51">
      <c r="B147" s="490"/>
      <c r="C147" s="491"/>
      <c r="D147" s="491"/>
      <c r="E147" s="491"/>
      <c r="F147" s="491"/>
      <c r="G147" s="492"/>
      <c r="H147" s="6"/>
      <c r="I147" s="11"/>
      <c r="J147" s="50"/>
      <c r="K147" s="44"/>
      <c r="L147" s="44"/>
      <c r="M147" s="44"/>
      <c r="N147" s="51"/>
    </row>
    <row r="148" spans="2:51">
      <c r="B148" s="490"/>
      <c r="C148" s="491"/>
      <c r="D148" s="491"/>
      <c r="E148" s="491"/>
      <c r="F148" s="491"/>
      <c r="G148" s="492"/>
      <c r="H148" s="6"/>
      <c r="I148" s="11"/>
      <c r="J148" s="50"/>
      <c r="K148" s="44"/>
      <c r="L148" s="44"/>
      <c r="M148" s="44"/>
      <c r="N148" s="51"/>
    </row>
    <row r="149" spans="2:51">
      <c r="B149" s="490"/>
      <c r="C149" s="491"/>
      <c r="D149" s="491"/>
      <c r="E149" s="491"/>
      <c r="F149" s="491"/>
      <c r="G149" s="492"/>
      <c r="H149" s="6"/>
      <c r="I149" s="11"/>
      <c r="J149" s="50"/>
      <c r="K149" s="44"/>
      <c r="L149" s="44"/>
      <c r="M149" s="44"/>
      <c r="N149" s="51"/>
    </row>
    <row r="150" spans="2:51" s="74" customFormat="1">
      <c r="B150" s="537" t="s">
        <v>97</v>
      </c>
      <c r="C150" s="538"/>
      <c r="D150" s="538"/>
      <c r="E150" s="538"/>
      <c r="F150" s="538"/>
      <c r="G150" s="538"/>
      <c r="H150" s="82" t="s">
        <v>98</v>
      </c>
      <c r="I150" s="83" t="s">
        <v>99</v>
      </c>
      <c r="J150" s="77"/>
      <c r="K150" s="78">
        <f>K151+K169+K173+K191+K209+K230+K249+K253+K271+K289+K227</f>
        <v>2785402.26</v>
      </c>
      <c r="L150" s="78">
        <f t="shared" ref="L150:M150" si="41">L151+L169+L173+L191+L209+L230+L249+L253+L271+L289</f>
        <v>3957344.0599999996</v>
      </c>
      <c r="M150" s="78">
        <f t="shared" si="41"/>
        <v>3324014.0300000003</v>
      </c>
      <c r="N150" s="79"/>
      <c r="O150" s="84"/>
      <c r="P150" s="84"/>
      <c r="Q150" s="84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</row>
    <row r="151" spans="2:51">
      <c r="B151" s="539" t="s">
        <v>100</v>
      </c>
      <c r="C151" s="540"/>
      <c r="D151" s="540"/>
      <c r="E151" s="540"/>
      <c r="F151" s="540"/>
      <c r="G151" s="540"/>
      <c r="H151" s="5"/>
      <c r="I151" s="10"/>
      <c r="J151" s="181" t="s">
        <v>317</v>
      </c>
      <c r="K151" s="196">
        <f>SUM(K152:K162)</f>
        <v>87357</v>
      </c>
      <c r="L151" s="196">
        <f t="shared" ref="L151" si="42">SUM(L152:L162)</f>
        <v>87357</v>
      </c>
      <c r="M151" s="196">
        <f t="shared" ref="M151" si="43">SUM(M152:M162)</f>
        <v>87357</v>
      </c>
      <c r="N151" s="51"/>
    </row>
    <row r="152" spans="2:51">
      <c r="B152" s="541"/>
      <c r="C152" s="542"/>
      <c r="D152" s="542"/>
      <c r="E152" s="542"/>
      <c r="F152" s="542"/>
      <c r="G152" s="543"/>
      <c r="H152" s="93"/>
      <c r="I152" s="94"/>
      <c r="J152" s="176" t="s">
        <v>191</v>
      </c>
      <c r="K152" s="339">
        <v>5124</v>
      </c>
      <c r="L152" s="339">
        <v>5124</v>
      </c>
      <c r="M152" s="339">
        <v>5124</v>
      </c>
      <c r="N152" s="90"/>
    </row>
    <row r="153" spans="2:51">
      <c r="B153" s="282"/>
      <c r="C153" s="283"/>
      <c r="D153" s="283"/>
      <c r="E153" s="283"/>
      <c r="F153" s="283"/>
      <c r="G153" s="284"/>
      <c r="H153" s="285"/>
      <c r="I153" s="286"/>
      <c r="J153" s="176" t="s">
        <v>384</v>
      </c>
      <c r="K153" s="281"/>
      <c r="L153" s="281"/>
      <c r="M153" s="281"/>
      <c r="N153" s="280"/>
    </row>
    <row r="154" spans="2:51">
      <c r="B154" s="541"/>
      <c r="C154" s="542"/>
      <c r="D154" s="542"/>
      <c r="E154" s="542"/>
      <c r="F154" s="542"/>
      <c r="G154" s="543"/>
      <c r="H154" s="93"/>
      <c r="I154" s="94"/>
      <c r="J154" s="176" t="s">
        <v>341</v>
      </c>
      <c r="K154" s="339">
        <v>22233</v>
      </c>
      <c r="L154" s="339">
        <v>22233</v>
      </c>
      <c r="M154" s="339">
        <v>22233</v>
      </c>
      <c r="N154" s="90"/>
    </row>
    <row r="155" spans="2:51">
      <c r="B155" s="541"/>
      <c r="C155" s="542"/>
      <c r="D155" s="542"/>
      <c r="E155" s="542"/>
      <c r="F155" s="542"/>
      <c r="G155" s="543"/>
      <c r="H155" s="93"/>
      <c r="I155" s="94"/>
      <c r="J155" s="176" t="s">
        <v>193</v>
      </c>
      <c r="K155" s="339">
        <v>60000</v>
      </c>
      <c r="L155" s="339">
        <v>60000</v>
      </c>
      <c r="M155" s="339">
        <v>60000</v>
      </c>
      <c r="N155" s="90"/>
    </row>
    <row r="156" spans="2:51">
      <c r="B156" s="541"/>
      <c r="C156" s="542"/>
      <c r="D156" s="542"/>
      <c r="E156" s="542"/>
      <c r="F156" s="542"/>
      <c r="G156" s="543"/>
      <c r="H156" s="93"/>
      <c r="I156" s="94"/>
      <c r="J156" s="176" t="s">
        <v>346</v>
      </c>
      <c r="K156" s="95"/>
      <c r="L156" s="95"/>
      <c r="M156" s="95"/>
      <c r="N156" s="90"/>
    </row>
    <row r="157" spans="2:51">
      <c r="B157" s="541"/>
      <c r="C157" s="542"/>
      <c r="D157" s="542"/>
      <c r="E157" s="542"/>
      <c r="F157" s="542"/>
      <c r="G157" s="543"/>
      <c r="H157" s="93"/>
      <c r="I157" s="94"/>
      <c r="J157" s="176" t="s">
        <v>347</v>
      </c>
      <c r="K157" s="95"/>
      <c r="L157" s="95"/>
      <c r="M157" s="95"/>
      <c r="N157" s="90"/>
    </row>
    <row r="158" spans="2:51">
      <c r="B158" s="541"/>
      <c r="C158" s="542"/>
      <c r="D158" s="542"/>
      <c r="E158" s="542"/>
      <c r="F158" s="542"/>
      <c r="G158" s="543"/>
      <c r="H158" s="93"/>
      <c r="I158" s="94"/>
      <c r="J158" s="176" t="s">
        <v>195</v>
      </c>
      <c r="K158" s="95"/>
      <c r="L158" s="95"/>
      <c r="M158" s="95"/>
      <c r="N158" s="90"/>
    </row>
    <row r="159" spans="2:51">
      <c r="B159" s="541"/>
      <c r="C159" s="542"/>
      <c r="D159" s="542"/>
      <c r="E159" s="542"/>
      <c r="F159" s="542"/>
      <c r="G159" s="543"/>
      <c r="H159" s="93"/>
      <c r="I159" s="94"/>
      <c r="J159" s="176" t="s">
        <v>345</v>
      </c>
      <c r="K159" s="194"/>
      <c r="L159" s="194"/>
      <c r="M159" s="194"/>
      <c r="N159" s="90"/>
    </row>
    <row r="160" spans="2:51">
      <c r="B160" s="541"/>
      <c r="C160" s="542"/>
      <c r="D160" s="542"/>
      <c r="E160" s="542"/>
      <c r="F160" s="542"/>
      <c r="G160" s="543"/>
      <c r="H160" s="93"/>
      <c r="I160" s="94"/>
      <c r="J160" s="176" t="s">
        <v>348</v>
      </c>
      <c r="K160" s="95"/>
      <c r="L160" s="95"/>
      <c r="M160" s="95"/>
      <c r="N160" s="90"/>
    </row>
    <row r="161" spans="2:14">
      <c r="B161" s="541"/>
      <c r="C161" s="542"/>
      <c r="D161" s="542"/>
      <c r="E161" s="542"/>
      <c r="F161" s="542"/>
      <c r="G161" s="543"/>
      <c r="H161" s="93"/>
      <c r="I161" s="94"/>
      <c r="J161" s="176" t="s">
        <v>349</v>
      </c>
      <c r="K161" s="95"/>
      <c r="L161" s="95"/>
      <c r="M161" s="95"/>
      <c r="N161" s="90"/>
    </row>
    <row r="162" spans="2:14">
      <c r="B162" s="541"/>
      <c r="C162" s="542"/>
      <c r="D162" s="542"/>
      <c r="E162" s="542"/>
      <c r="F162" s="542"/>
      <c r="G162" s="543"/>
      <c r="H162" s="5"/>
      <c r="I162" s="10"/>
      <c r="J162" s="176" t="s">
        <v>350</v>
      </c>
      <c r="K162" s="177"/>
      <c r="L162" s="177"/>
      <c r="M162" s="177"/>
      <c r="N162" s="51"/>
    </row>
    <row r="163" spans="2:14">
      <c r="B163" s="282"/>
      <c r="C163" s="283"/>
      <c r="D163" s="283"/>
      <c r="E163" s="283"/>
      <c r="F163" s="283"/>
      <c r="G163" s="284"/>
      <c r="H163" s="285"/>
      <c r="I163" s="286"/>
      <c r="J163" s="176"/>
      <c r="K163" s="177"/>
      <c r="L163" s="177"/>
      <c r="M163" s="177"/>
      <c r="N163" s="280"/>
    </row>
    <row r="164" spans="2:14">
      <c r="B164" s="282"/>
      <c r="C164" s="283"/>
      <c r="D164" s="283"/>
      <c r="E164" s="283"/>
      <c r="F164" s="283"/>
      <c r="G164" s="284"/>
      <c r="H164" s="285"/>
      <c r="I164" s="286"/>
      <c r="J164" s="176"/>
      <c r="K164" s="177"/>
      <c r="L164" s="177"/>
      <c r="M164" s="177"/>
      <c r="N164" s="280"/>
    </row>
    <row r="165" spans="2:14">
      <c r="B165" s="282"/>
      <c r="C165" s="283"/>
      <c r="D165" s="283"/>
      <c r="E165" s="283"/>
      <c r="F165" s="283"/>
      <c r="G165" s="284"/>
      <c r="H165" s="285"/>
      <c r="I165" s="286"/>
      <c r="J165" s="176"/>
      <c r="K165" s="177"/>
      <c r="L165" s="177"/>
      <c r="M165" s="177"/>
      <c r="N165" s="280"/>
    </row>
    <row r="166" spans="2:14">
      <c r="B166" s="282"/>
      <c r="C166" s="283"/>
      <c r="D166" s="283"/>
      <c r="E166" s="283"/>
      <c r="F166" s="283"/>
      <c r="G166" s="284"/>
      <c r="H166" s="285"/>
      <c r="I166" s="286"/>
      <c r="J166" s="176"/>
      <c r="K166" s="177"/>
      <c r="L166" s="177"/>
      <c r="M166" s="177"/>
      <c r="N166" s="280"/>
    </row>
    <row r="167" spans="2:14">
      <c r="B167" s="282"/>
      <c r="C167" s="283"/>
      <c r="D167" s="283"/>
      <c r="E167" s="283"/>
      <c r="F167" s="283"/>
      <c r="G167" s="284"/>
      <c r="H167" s="285"/>
      <c r="I167" s="286"/>
      <c r="J167" s="176"/>
      <c r="K167" s="177"/>
      <c r="L167" s="177"/>
      <c r="M167" s="177"/>
      <c r="N167" s="280"/>
    </row>
    <row r="168" spans="2:14">
      <c r="B168" s="188"/>
      <c r="C168" s="189"/>
      <c r="D168" s="189"/>
      <c r="E168" s="189"/>
      <c r="F168" s="189"/>
      <c r="G168" s="190"/>
      <c r="H168" s="192"/>
      <c r="I168" s="193"/>
      <c r="J168" s="176"/>
      <c r="K168" s="177"/>
      <c r="L168" s="177"/>
      <c r="M168" s="177"/>
      <c r="N168" s="191"/>
    </row>
    <row r="169" spans="2:14">
      <c r="B169" s="188"/>
      <c r="C169" s="189"/>
      <c r="D169" s="189"/>
      <c r="E169" s="189"/>
      <c r="F169" s="189"/>
      <c r="G169" s="190"/>
      <c r="H169" s="192"/>
      <c r="I169" s="193"/>
      <c r="J169" s="181" t="s">
        <v>318</v>
      </c>
      <c r="K169" s="177">
        <f>K170</f>
        <v>0</v>
      </c>
      <c r="L169" s="177">
        <f t="shared" ref="L169:M169" si="44">L170</f>
        <v>0</v>
      </c>
      <c r="M169" s="177">
        <f t="shared" si="44"/>
        <v>0</v>
      </c>
      <c r="N169" s="191"/>
    </row>
    <row r="170" spans="2:14">
      <c r="B170" s="188"/>
      <c r="C170" s="189"/>
      <c r="D170" s="189"/>
      <c r="E170" s="189"/>
      <c r="F170" s="189"/>
      <c r="G170" s="190"/>
      <c r="H170" s="192"/>
      <c r="I170" s="193"/>
      <c r="J170" s="176" t="s">
        <v>348</v>
      </c>
      <c r="K170" s="177"/>
      <c r="L170" s="177"/>
      <c r="M170" s="177"/>
      <c r="N170" s="191"/>
    </row>
    <row r="171" spans="2:14" hidden="1">
      <c r="B171" s="188"/>
      <c r="C171" s="189"/>
      <c r="D171" s="189"/>
      <c r="E171" s="189"/>
      <c r="F171" s="189"/>
      <c r="G171" s="190"/>
      <c r="H171" s="192"/>
      <c r="I171" s="193"/>
      <c r="J171" s="176"/>
      <c r="K171" s="177"/>
      <c r="L171" s="177"/>
      <c r="M171" s="177"/>
      <c r="N171" s="191"/>
    </row>
    <row r="172" spans="2:14">
      <c r="B172" s="541"/>
      <c r="C172" s="542"/>
      <c r="D172" s="542"/>
      <c r="E172" s="542"/>
      <c r="F172" s="542"/>
      <c r="G172" s="543"/>
      <c r="H172" s="93"/>
      <c r="I172" s="94"/>
      <c r="J172" s="50"/>
      <c r="K172" s="95"/>
      <c r="L172" s="109"/>
      <c r="M172" s="109"/>
      <c r="N172" s="90"/>
    </row>
    <row r="173" spans="2:14">
      <c r="B173" s="541"/>
      <c r="C173" s="542"/>
      <c r="D173" s="542"/>
      <c r="E173" s="542"/>
      <c r="F173" s="542"/>
      <c r="G173" s="543"/>
      <c r="H173" s="93"/>
      <c r="I173" s="94"/>
      <c r="J173" s="181" t="s">
        <v>319</v>
      </c>
      <c r="K173" s="196">
        <f>SUM(K174:K184)</f>
        <v>85879.82</v>
      </c>
      <c r="L173" s="196">
        <f t="shared" ref="L173" si="45">SUM(L174:L184)</f>
        <v>87287.82</v>
      </c>
      <c r="M173" s="196">
        <f t="shared" ref="M173" si="46">SUM(M174:M184)</f>
        <v>87674.82</v>
      </c>
      <c r="N173" s="90"/>
    </row>
    <row r="174" spans="2:14">
      <c r="B174" s="541"/>
      <c r="C174" s="542"/>
      <c r="D174" s="542"/>
      <c r="E174" s="542"/>
      <c r="F174" s="542"/>
      <c r="G174" s="543"/>
      <c r="H174" s="93"/>
      <c r="I174" s="94"/>
      <c r="J174" s="176" t="s">
        <v>191</v>
      </c>
      <c r="K174" s="339">
        <v>23657.82</v>
      </c>
      <c r="L174" s="339">
        <v>23657.82</v>
      </c>
      <c r="M174" s="339">
        <v>23657.82</v>
      </c>
      <c r="N174" s="90"/>
    </row>
    <row r="175" spans="2:14">
      <c r="B175" s="282"/>
      <c r="C175" s="283"/>
      <c r="D175" s="283"/>
      <c r="E175" s="283"/>
      <c r="F175" s="283"/>
      <c r="G175" s="284"/>
      <c r="H175" s="285"/>
      <c r="I175" s="286"/>
      <c r="J175" s="176" t="s">
        <v>384</v>
      </c>
      <c r="K175" s="281"/>
      <c r="L175" s="281"/>
      <c r="M175" s="281"/>
      <c r="N175" s="280"/>
    </row>
    <row r="176" spans="2:14">
      <c r="B176" s="541"/>
      <c r="C176" s="542"/>
      <c r="D176" s="542"/>
      <c r="E176" s="542"/>
      <c r="F176" s="542"/>
      <c r="G176" s="543"/>
      <c r="H176" s="93"/>
      <c r="I176" s="94"/>
      <c r="J176" s="176" t="s">
        <v>341</v>
      </c>
      <c r="K176" s="339">
        <v>62222</v>
      </c>
      <c r="L176" s="339">
        <v>63630</v>
      </c>
      <c r="M176" s="339">
        <v>64017</v>
      </c>
      <c r="N176" s="90"/>
    </row>
    <row r="177" spans="2:14">
      <c r="B177" s="541"/>
      <c r="C177" s="542"/>
      <c r="D177" s="542"/>
      <c r="E177" s="542"/>
      <c r="F177" s="542"/>
      <c r="G177" s="543"/>
      <c r="H177" s="93"/>
      <c r="I177" s="94"/>
      <c r="J177" s="176" t="s">
        <v>193</v>
      </c>
      <c r="K177" s="95"/>
      <c r="L177" s="95"/>
      <c r="M177" s="109"/>
      <c r="N177" s="90"/>
    </row>
    <row r="178" spans="2:14">
      <c r="B178" s="541"/>
      <c r="C178" s="542"/>
      <c r="D178" s="542"/>
      <c r="E178" s="542"/>
      <c r="F178" s="542"/>
      <c r="G178" s="543"/>
      <c r="H178" s="93"/>
      <c r="I178" s="94"/>
      <c r="J178" s="176" t="s">
        <v>346</v>
      </c>
      <c r="K178" s="95"/>
      <c r="L178" s="95"/>
      <c r="M178" s="95"/>
      <c r="N178" s="90"/>
    </row>
    <row r="179" spans="2:14">
      <c r="B179" s="541"/>
      <c r="C179" s="542"/>
      <c r="D179" s="542"/>
      <c r="E179" s="542"/>
      <c r="F179" s="542"/>
      <c r="G179" s="543"/>
      <c r="H179" s="93"/>
      <c r="I179" s="94"/>
      <c r="J179" s="176" t="s">
        <v>347</v>
      </c>
      <c r="K179" s="95"/>
      <c r="L179" s="109"/>
      <c r="M179" s="109"/>
      <c r="N179" s="90"/>
    </row>
    <row r="180" spans="2:14" ht="18" customHeight="1">
      <c r="B180" s="541"/>
      <c r="C180" s="542"/>
      <c r="D180" s="542"/>
      <c r="E180" s="542"/>
      <c r="F180" s="542"/>
      <c r="G180" s="543"/>
      <c r="H180" s="93"/>
      <c r="I180" s="94"/>
      <c r="J180" s="176" t="s">
        <v>195</v>
      </c>
      <c r="K180" s="95"/>
      <c r="L180" s="95"/>
      <c r="M180" s="95"/>
      <c r="N180" s="90"/>
    </row>
    <row r="181" spans="2:14" ht="18" customHeight="1">
      <c r="B181" s="103"/>
      <c r="C181" s="104"/>
      <c r="D181" s="104"/>
      <c r="E181" s="104"/>
      <c r="F181" s="104"/>
      <c r="G181" s="105"/>
      <c r="H181" s="111"/>
      <c r="I181" s="112"/>
      <c r="J181" s="176" t="s">
        <v>345</v>
      </c>
      <c r="K181" s="109"/>
      <c r="L181" s="109"/>
      <c r="M181" s="109"/>
      <c r="N181" s="110"/>
    </row>
    <row r="182" spans="2:14">
      <c r="B182" s="541"/>
      <c r="C182" s="542"/>
      <c r="D182" s="542"/>
      <c r="E182" s="542"/>
      <c r="F182" s="542"/>
      <c r="G182" s="543"/>
      <c r="H182" s="93"/>
      <c r="I182" s="94"/>
      <c r="J182" s="176" t="s">
        <v>348</v>
      </c>
      <c r="K182" s="95"/>
      <c r="L182" s="109"/>
      <c r="M182" s="109"/>
      <c r="N182" s="90"/>
    </row>
    <row r="183" spans="2:14">
      <c r="B183" s="541"/>
      <c r="C183" s="542"/>
      <c r="D183" s="542"/>
      <c r="E183" s="542"/>
      <c r="F183" s="542"/>
      <c r="G183" s="543"/>
      <c r="H183" s="5"/>
      <c r="I183" s="10"/>
      <c r="J183" s="176" t="s">
        <v>349</v>
      </c>
      <c r="K183" s="177"/>
      <c r="L183" s="177"/>
      <c r="M183" s="177"/>
      <c r="N183" s="51"/>
    </row>
    <row r="184" spans="2:14">
      <c r="B184" s="541"/>
      <c r="C184" s="542"/>
      <c r="D184" s="542"/>
      <c r="E184" s="542"/>
      <c r="F184" s="542"/>
      <c r="G184" s="543"/>
      <c r="H184" s="93"/>
      <c r="I184" s="94"/>
      <c r="J184" s="176" t="s">
        <v>350</v>
      </c>
      <c r="K184" s="95"/>
      <c r="L184" s="109"/>
      <c r="M184" s="109"/>
      <c r="N184" s="90"/>
    </row>
    <row r="185" spans="2:14">
      <c r="B185" s="282"/>
      <c r="C185" s="283"/>
      <c r="D185" s="283"/>
      <c r="E185" s="283"/>
      <c r="F185" s="283"/>
      <c r="G185" s="284"/>
      <c r="H185" s="285"/>
      <c r="I185" s="286"/>
      <c r="J185" s="176"/>
      <c r="K185" s="281"/>
      <c r="L185" s="281"/>
      <c r="M185" s="281"/>
      <c r="N185" s="280"/>
    </row>
    <row r="186" spans="2:14">
      <c r="B186" s="282"/>
      <c r="C186" s="283"/>
      <c r="D186" s="283"/>
      <c r="E186" s="283"/>
      <c r="F186" s="283"/>
      <c r="G186" s="284"/>
      <c r="H186" s="285"/>
      <c r="I186" s="286"/>
      <c r="J186" s="176"/>
      <c r="K186" s="281"/>
      <c r="L186" s="281"/>
      <c r="M186" s="281"/>
      <c r="N186" s="280"/>
    </row>
    <row r="187" spans="2:14">
      <c r="B187" s="282"/>
      <c r="C187" s="283"/>
      <c r="D187" s="283"/>
      <c r="E187" s="283"/>
      <c r="F187" s="283"/>
      <c r="G187" s="284"/>
      <c r="H187" s="285"/>
      <c r="I187" s="286"/>
      <c r="J187" s="176"/>
      <c r="K187" s="281"/>
      <c r="L187" s="281"/>
      <c r="M187" s="281"/>
      <c r="N187" s="280"/>
    </row>
    <row r="188" spans="2:14">
      <c r="B188" s="282"/>
      <c r="C188" s="283"/>
      <c r="D188" s="283"/>
      <c r="E188" s="283"/>
      <c r="F188" s="283"/>
      <c r="G188" s="284"/>
      <c r="H188" s="285"/>
      <c r="I188" s="286"/>
      <c r="J188" s="176"/>
      <c r="K188" s="281"/>
      <c r="L188" s="281"/>
      <c r="M188" s="281"/>
      <c r="N188" s="280"/>
    </row>
    <row r="189" spans="2:14">
      <c r="B189" s="282"/>
      <c r="C189" s="283"/>
      <c r="D189" s="283"/>
      <c r="E189" s="283"/>
      <c r="F189" s="283"/>
      <c r="G189" s="284"/>
      <c r="H189" s="285"/>
      <c r="I189" s="286"/>
      <c r="J189" s="176"/>
      <c r="K189" s="281"/>
      <c r="L189" s="281"/>
      <c r="M189" s="281"/>
      <c r="N189" s="280"/>
    </row>
    <row r="190" spans="2:14">
      <c r="B190" s="541"/>
      <c r="C190" s="542"/>
      <c r="D190" s="542"/>
      <c r="E190" s="542"/>
      <c r="F190" s="542"/>
      <c r="G190" s="543"/>
      <c r="H190" s="93"/>
      <c r="I190" s="94"/>
      <c r="J190" s="50"/>
      <c r="K190" s="95"/>
      <c r="L190" s="109"/>
      <c r="M190" s="109"/>
      <c r="N190" s="90"/>
    </row>
    <row r="191" spans="2:14">
      <c r="B191" s="541"/>
      <c r="C191" s="542"/>
      <c r="D191" s="542"/>
      <c r="E191" s="542"/>
      <c r="F191" s="542"/>
      <c r="G191" s="543"/>
      <c r="H191" s="93"/>
      <c r="I191" s="94"/>
      <c r="J191" s="181" t="s">
        <v>320</v>
      </c>
      <c r="K191" s="196">
        <f>SUM(K192:K202)</f>
        <v>101190</v>
      </c>
      <c r="L191" s="196">
        <f t="shared" ref="L191" si="47">SUM(L192:L202)</f>
        <v>1401190</v>
      </c>
      <c r="M191" s="196">
        <f t="shared" ref="M191" si="48">SUM(M192:M202)</f>
        <v>699190</v>
      </c>
      <c r="N191" s="90"/>
    </row>
    <row r="192" spans="2:14">
      <c r="B192" s="541"/>
      <c r="C192" s="542"/>
      <c r="D192" s="542"/>
      <c r="E192" s="542"/>
      <c r="F192" s="542"/>
      <c r="G192" s="543"/>
      <c r="H192" s="93"/>
      <c r="I192" s="94"/>
      <c r="J192" s="176" t="s">
        <v>191</v>
      </c>
      <c r="K192" s="339">
        <v>9250</v>
      </c>
      <c r="L192" s="339">
        <v>9250</v>
      </c>
      <c r="M192" s="339">
        <v>9250</v>
      </c>
      <c r="N192" s="90"/>
    </row>
    <row r="193" spans="2:14">
      <c r="B193" s="282"/>
      <c r="C193" s="283"/>
      <c r="D193" s="283"/>
      <c r="E193" s="283"/>
      <c r="F193" s="283"/>
      <c r="G193" s="284"/>
      <c r="H193" s="285"/>
      <c r="I193" s="286"/>
      <c r="J193" s="176" t="s">
        <v>384</v>
      </c>
      <c r="K193" s="281"/>
      <c r="L193" s="281"/>
      <c r="M193" s="281"/>
      <c r="N193" s="280"/>
    </row>
    <row r="194" spans="2:14">
      <c r="B194" s="541"/>
      <c r="C194" s="542"/>
      <c r="D194" s="542"/>
      <c r="E194" s="542"/>
      <c r="F194" s="542"/>
      <c r="G194" s="543"/>
      <c r="H194" s="93"/>
      <c r="I194" s="94"/>
      <c r="J194" s="176" t="s">
        <v>341</v>
      </c>
      <c r="K194" s="339">
        <v>91940</v>
      </c>
      <c r="L194" s="339">
        <v>91940</v>
      </c>
      <c r="M194" s="339">
        <v>91940</v>
      </c>
      <c r="N194" s="90"/>
    </row>
    <row r="195" spans="2:14">
      <c r="B195" s="541"/>
      <c r="C195" s="542"/>
      <c r="D195" s="542"/>
      <c r="E195" s="542"/>
      <c r="F195" s="542"/>
      <c r="G195" s="543"/>
      <c r="H195" s="5"/>
      <c r="I195" s="10"/>
      <c r="J195" s="176" t="s">
        <v>193</v>
      </c>
      <c r="K195" s="194"/>
      <c r="L195" s="194"/>
      <c r="M195" s="194"/>
      <c r="N195" s="51"/>
    </row>
    <row r="196" spans="2:14">
      <c r="B196" s="103"/>
      <c r="C196" s="104"/>
      <c r="D196" s="104"/>
      <c r="E196" s="104"/>
      <c r="F196" s="104"/>
      <c r="G196" s="105"/>
      <c r="H196" s="111"/>
      <c r="I196" s="112"/>
      <c r="J196" s="176" t="s">
        <v>346</v>
      </c>
      <c r="K196" s="177"/>
      <c r="L196" s="177"/>
      <c r="M196" s="177"/>
      <c r="N196" s="110"/>
    </row>
    <row r="197" spans="2:14">
      <c r="B197" s="541"/>
      <c r="C197" s="542"/>
      <c r="D197" s="542"/>
      <c r="E197" s="542"/>
      <c r="F197" s="542"/>
      <c r="G197" s="543"/>
      <c r="H197" s="93"/>
      <c r="I197" s="94"/>
      <c r="J197" s="176" t="s">
        <v>347</v>
      </c>
      <c r="K197" s="339">
        <v>0</v>
      </c>
      <c r="L197" s="339">
        <v>1300000</v>
      </c>
      <c r="M197" s="339">
        <v>598000</v>
      </c>
      <c r="N197" s="90"/>
    </row>
    <row r="198" spans="2:14">
      <c r="B198" s="541"/>
      <c r="C198" s="542"/>
      <c r="D198" s="542"/>
      <c r="E198" s="542"/>
      <c r="F198" s="542"/>
      <c r="G198" s="543"/>
      <c r="H198" s="5"/>
      <c r="I198" s="10"/>
      <c r="J198" s="176" t="s">
        <v>195</v>
      </c>
      <c r="K198" s="177"/>
      <c r="L198" s="177"/>
      <c r="M198" s="177"/>
      <c r="N198" s="51"/>
    </row>
    <row r="199" spans="2:14">
      <c r="B199" s="541"/>
      <c r="C199" s="542"/>
      <c r="D199" s="542"/>
      <c r="E199" s="542"/>
      <c r="F199" s="542"/>
      <c r="G199" s="543"/>
      <c r="H199" s="93"/>
      <c r="I199" s="94"/>
      <c r="J199" s="176" t="s">
        <v>345</v>
      </c>
      <c r="K199" s="95"/>
      <c r="L199" s="95"/>
      <c r="M199" s="95"/>
      <c r="N199" s="90"/>
    </row>
    <row r="200" spans="2:14">
      <c r="B200" s="103"/>
      <c r="C200" s="104"/>
      <c r="D200" s="104"/>
      <c r="E200" s="104"/>
      <c r="F200" s="104"/>
      <c r="G200" s="105"/>
      <c r="H200" s="111"/>
      <c r="I200" s="112"/>
      <c r="J200" s="176" t="s">
        <v>348</v>
      </c>
      <c r="K200" s="109"/>
      <c r="L200" s="109"/>
      <c r="M200" s="109"/>
      <c r="N200" s="110"/>
    </row>
    <row r="201" spans="2:14">
      <c r="B201" s="541"/>
      <c r="C201" s="542"/>
      <c r="D201" s="542"/>
      <c r="E201" s="542"/>
      <c r="F201" s="542"/>
      <c r="G201" s="543"/>
      <c r="H201" s="5"/>
      <c r="I201" s="10"/>
      <c r="J201" s="176" t="s">
        <v>349</v>
      </c>
      <c r="K201" s="177"/>
      <c r="L201" s="177"/>
      <c r="M201" s="177"/>
      <c r="N201" s="51"/>
    </row>
    <row r="202" spans="2:14">
      <c r="B202" s="541"/>
      <c r="C202" s="542"/>
      <c r="D202" s="542"/>
      <c r="E202" s="542"/>
      <c r="F202" s="542"/>
      <c r="G202" s="543"/>
      <c r="H202" s="5"/>
      <c r="I202" s="10"/>
      <c r="J202" s="176" t="s">
        <v>350</v>
      </c>
      <c r="K202" s="44"/>
      <c r="L202" s="44"/>
      <c r="M202" s="44"/>
      <c r="N202" s="51"/>
    </row>
    <row r="203" spans="2:14">
      <c r="B203" s="282"/>
      <c r="C203" s="283"/>
      <c r="D203" s="283"/>
      <c r="E203" s="283"/>
      <c r="F203" s="283"/>
      <c r="G203" s="284"/>
      <c r="H203" s="285"/>
      <c r="I203" s="286"/>
      <c r="J203" s="176"/>
      <c r="K203" s="281"/>
      <c r="L203" s="281"/>
      <c r="M203" s="281"/>
      <c r="N203" s="280"/>
    </row>
    <row r="204" spans="2:14">
      <c r="B204" s="282"/>
      <c r="C204" s="283"/>
      <c r="D204" s="283"/>
      <c r="E204" s="283"/>
      <c r="F204" s="283"/>
      <c r="G204" s="284"/>
      <c r="H204" s="285"/>
      <c r="I204" s="286"/>
      <c r="J204" s="176"/>
      <c r="K204" s="281"/>
      <c r="L204" s="281"/>
      <c r="M204" s="281"/>
      <c r="N204" s="280"/>
    </row>
    <row r="205" spans="2:14">
      <c r="B205" s="282"/>
      <c r="C205" s="283"/>
      <c r="D205" s="283"/>
      <c r="E205" s="283"/>
      <c r="F205" s="283"/>
      <c r="G205" s="284"/>
      <c r="H205" s="285"/>
      <c r="I205" s="286"/>
      <c r="J205" s="176"/>
      <c r="K205" s="281"/>
      <c r="L205" s="281"/>
      <c r="M205" s="281"/>
      <c r="N205" s="280"/>
    </row>
    <row r="206" spans="2:14">
      <c r="B206" s="282"/>
      <c r="C206" s="283"/>
      <c r="D206" s="283"/>
      <c r="E206" s="283"/>
      <c r="F206" s="283"/>
      <c r="G206" s="284"/>
      <c r="H206" s="285"/>
      <c r="I206" s="286"/>
      <c r="J206" s="176"/>
      <c r="K206" s="281"/>
      <c r="L206" s="281"/>
      <c r="M206" s="281"/>
      <c r="N206" s="280"/>
    </row>
    <row r="207" spans="2:14">
      <c r="B207" s="282"/>
      <c r="C207" s="283"/>
      <c r="D207" s="283"/>
      <c r="E207" s="283"/>
      <c r="F207" s="283"/>
      <c r="G207" s="284"/>
      <c r="H207" s="285"/>
      <c r="I207" s="286"/>
      <c r="J207" s="176"/>
      <c r="K207" s="281"/>
      <c r="L207" s="281"/>
      <c r="M207" s="281"/>
      <c r="N207" s="280"/>
    </row>
    <row r="208" spans="2:14">
      <c r="B208" s="541"/>
      <c r="C208" s="542"/>
      <c r="D208" s="542"/>
      <c r="E208" s="542"/>
      <c r="F208" s="542"/>
      <c r="G208" s="543"/>
      <c r="H208" s="5"/>
      <c r="I208" s="10"/>
      <c r="J208" s="181"/>
      <c r="K208" s="177"/>
      <c r="L208" s="177"/>
      <c r="M208" s="177"/>
      <c r="N208" s="51"/>
    </row>
    <row r="209" spans="2:14">
      <c r="B209" s="541"/>
      <c r="C209" s="542"/>
      <c r="D209" s="542"/>
      <c r="E209" s="542"/>
      <c r="F209" s="542"/>
      <c r="G209" s="543"/>
      <c r="H209" s="5"/>
      <c r="I209" s="10"/>
      <c r="J209" s="181" t="s">
        <v>321</v>
      </c>
      <c r="K209" s="196">
        <f>SUM(K210:K220)</f>
        <v>2120830.44</v>
      </c>
      <c r="L209" s="196">
        <f t="shared" ref="L209" si="49">SUM(L210:L220)</f>
        <v>2051989.2399999998</v>
      </c>
      <c r="M209" s="196">
        <f t="shared" ref="M209" si="50">SUM(M210:M220)</f>
        <v>2118581.21</v>
      </c>
      <c r="N209" s="51"/>
    </row>
    <row r="210" spans="2:14">
      <c r="B210" s="541"/>
      <c r="C210" s="542"/>
      <c r="D210" s="542"/>
      <c r="E210" s="542"/>
      <c r="F210" s="542"/>
      <c r="G210" s="543"/>
      <c r="H210" s="5"/>
      <c r="I210" s="10"/>
      <c r="J210" s="176" t="s">
        <v>191</v>
      </c>
      <c r="K210" s="339">
        <f>7740+43860</f>
        <v>51600</v>
      </c>
      <c r="L210" s="339">
        <f>7740+43860</f>
        <v>51600</v>
      </c>
      <c r="M210" s="339">
        <f>7740+43860</f>
        <v>51600</v>
      </c>
      <c r="N210" s="51"/>
    </row>
    <row r="211" spans="2:14">
      <c r="B211" s="282"/>
      <c r="C211" s="283"/>
      <c r="D211" s="283"/>
      <c r="E211" s="283"/>
      <c r="F211" s="283"/>
      <c r="G211" s="284"/>
      <c r="H211" s="285"/>
      <c r="I211" s="286"/>
      <c r="J211" s="176" t="s">
        <v>384</v>
      </c>
      <c r="K211" s="281"/>
      <c r="L211" s="281"/>
      <c r="M211" s="281"/>
      <c r="N211" s="280"/>
    </row>
    <row r="212" spans="2:14">
      <c r="B212" s="103"/>
      <c r="C212" s="104"/>
      <c r="D212" s="104"/>
      <c r="E212" s="104"/>
      <c r="F212" s="104"/>
      <c r="G212" s="105"/>
      <c r="H212" s="111"/>
      <c r="I212" s="112"/>
      <c r="J212" s="176" t="s">
        <v>341</v>
      </c>
      <c r="K212" s="339">
        <v>372864</v>
      </c>
      <c r="L212" s="339">
        <v>414585</v>
      </c>
      <c r="M212" s="339">
        <v>414585</v>
      </c>
      <c r="N212" s="110"/>
    </row>
    <row r="213" spans="2:14">
      <c r="B213" s="103"/>
      <c r="C213" s="104"/>
      <c r="D213" s="104"/>
      <c r="E213" s="104"/>
      <c r="F213" s="104"/>
      <c r="G213" s="105"/>
      <c r="H213" s="111"/>
      <c r="I213" s="112"/>
      <c r="J213" s="176" t="s">
        <v>193</v>
      </c>
      <c r="K213" s="339">
        <v>42708</v>
      </c>
      <c r="L213" s="339">
        <v>42708</v>
      </c>
      <c r="M213" s="339">
        <v>42708</v>
      </c>
      <c r="N213" s="110"/>
    </row>
    <row r="214" spans="2:14">
      <c r="B214" s="103"/>
      <c r="C214" s="104"/>
      <c r="D214" s="104"/>
      <c r="E214" s="104"/>
      <c r="F214" s="104"/>
      <c r="G214" s="105"/>
      <c r="H214" s="111"/>
      <c r="I214" s="112"/>
      <c r="J214" s="176" t="s">
        <v>346</v>
      </c>
      <c r="K214" s="339">
        <v>505373</v>
      </c>
      <c r="L214" s="339">
        <v>328376</v>
      </c>
      <c r="M214" s="339">
        <v>328376</v>
      </c>
      <c r="N214" s="110"/>
    </row>
    <row r="215" spans="2:14">
      <c r="B215" s="103"/>
      <c r="C215" s="104"/>
      <c r="D215" s="104"/>
      <c r="E215" s="104"/>
      <c r="F215" s="104"/>
      <c r="G215" s="105"/>
      <c r="H215" s="111"/>
      <c r="I215" s="112"/>
      <c r="J215" s="176" t="s">
        <v>429</v>
      </c>
      <c r="K215" s="339">
        <f>32315.36+594602.62+19389.22</f>
        <v>646307.19999999995</v>
      </c>
      <c r="L215" s="339">
        <f>34606.22+636754.35+20763.73</f>
        <v>692124.29999999993</v>
      </c>
      <c r="M215" s="339">
        <f>36902.49+679005.82+22141.49</f>
        <v>738049.79999999993</v>
      </c>
      <c r="N215" s="110"/>
    </row>
    <row r="216" spans="2:14">
      <c r="B216" s="103"/>
      <c r="C216" s="104"/>
      <c r="D216" s="104"/>
      <c r="E216" s="104"/>
      <c r="F216" s="104"/>
      <c r="G216" s="105"/>
      <c r="H216" s="111"/>
      <c r="I216" s="112"/>
      <c r="J216" s="176" t="s">
        <v>430</v>
      </c>
      <c r="K216" s="339">
        <f>62530.22+228308.02</f>
        <v>290838.24</v>
      </c>
      <c r="L216" s="339">
        <f>66963.03+244492.91</f>
        <v>311455.94</v>
      </c>
      <c r="M216" s="339">
        <f>71406.32+260716.09</f>
        <v>332122.41000000003</v>
      </c>
      <c r="N216" s="110"/>
    </row>
    <row r="217" spans="2:14">
      <c r="B217" s="103"/>
      <c r="C217" s="104"/>
      <c r="D217" s="104"/>
      <c r="E217" s="104"/>
      <c r="F217" s="104"/>
      <c r="G217" s="105"/>
      <c r="H217" s="111"/>
      <c r="I217" s="112"/>
      <c r="J217" s="176" t="s">
        <v>345</v>
      </c>
      <c r="K217" s="339">
        <v>211140</v>
      </c>
      <c r="L217" s="339">
        <v>211140</v>
      </c>
      <c r="M217" s="339">
        <v>211140</v>
      </c>
      <c r="N217" s="110"/>
    </row>
    <row r="218" spans="2:14">
      <c r="B218" s="103"/>
      <c r="C218" s="104"/>
      <c r="D218" s="104"/>
      <c r="E218" s="104"/>
      <c r="F218" s="104"/>
      <c r="G218" s="105"/>
      <c r="H218" s="111"/>
      <c r="I218" s="112"/>
      <c r="J218" s="176" t="s">
        <v>348</v>
      </c>
      <c r="K218" s="109"/>
      <c r="L218" s="109"/>
      <c r="M218" s="109"/>
      <c r="N218" s="110"/>
    </row>
    <row r="219" spans="2:14">
      <c r="B219" s="103"/>
      <c r="C219" s="104"/>
      <c r="D219" s="104"/>
      <c r="E219" s="104"/>
      <c r="F219" s="104"/>
      <c r="G219" s="105"/>
      <c r="H219" s="111"/>
      <c r="I219" s="112"/>
      <c r="J219" s="176" t="s">
        <v>349</v>
      </c>
      <c r="K219" s="109"/>
      <c r="L219" s="109"/>
      <c r="M219" s="109"/>
      <c r="N219" s="110"/>
    </row>
    <row r="220" spans="2:14">
      <c r="B220" s="103"/>
      <c r="C220" s="104"/>
      <c r="D220" s="104"/>
      <c r="E220" s="104"/>
      <c r="F220" s="104"/>
      <c r="G220" s="105"/>
      <c r="H220" s="111"/>
      <c r="I220" s="112"/>
      <c r="J220" s="176" t="s">
        <v>350</v>
      </c>
      <c r="K220" s="109"/>
      <c r="L220" s="109"/>
      <c r="M220" s="109"/>
      <c r="N220" s="110"/>
    </row>
    <row r="221" spans="2:14">
      <c r="B221" s="282"/>
      <c r="C221" s="283"/>
      <c r="D221" s="283"/>
      <c r="E221" s="283"/>
      <c r="F221" s="283"/>
      <c r="G221" s="284"/>
      <c r="H221" s="285"/>
      <c r="I221" s="286"/>
      <c r="J221" s="176"/>
      <c r="K221" s="281"/>
      <c r="L221" s="281"/>
      <c r="M221" s="281"/>
      <c r="N221" s="280"/>
    </row>
    <row r="222" spans="2:14">
      <c r="B222" s="282"/>
      <c r="C222" s="283"/>
      <c r="D222" s="283"/>
      <c r="E222" s="283"/>
      <c r="F222" s="283"/>
      <c r="G222" s="284"/>
      <c r="H222" s="285"/>
      <c r="I222" s="286"/>
      <c r="J222" s="176"/>
      <c r="K222" s="281"/>
      <c r="L222" s="281"/>
      <c r="M222" s="281"/>
      <c r="N222" s="280"/>
    </row>
    <row r="223" spans="2:14">
      <c r="B223" s="282"/>
      <c r="C223" s="283"/>
      <c r="D223" s="283"/>
      <c r="E223" s="283"/>
      <c r="F223" s="283"/>
      <c r="G223" s="284"/>
      <c r="H223" s="285"/>
      <c r="I223" s="286"/>
      <c r="J223" s="176"/>
      <c r="K223" s="281"/>
      <c r="L223" s="281"/>
      <c r="M223" s="281"/>
      <c r="N223" s="280"/>
    </row>
    <row r="224" spans="2:14">
      <c r="B224" s="282"/>
      <c r="C224" s="283"/>
      <c r="D224" s="283"/>
      <c r="E224" s="283"/>
      <c r="F224" s="283"/>
      <c r="G224" s="284"/>
      <c r="H224" s="285"/>
      <c r="I224" s="286"/>
      <c r="J224" s="176"/>
      <c r="K224" s="281"/>
      <c r="L224" s="281"/>
      <c r="M224" s="281"/>
      <c r="N224" s="280"/>
    </row>
    <row r="225" spans="2:14">
      <c r="B225" s="282"/>
      <c r="C225" s="283"/>
      <c r="D225" s="283"/>
      <c r="E225" s="283"/>
      <c r="F225" s="283"/>
      <c r="G225" s="284"/>
      <c r="H225" s="285"/>
      <c r="I225" s="286"/>
      <c r="J225" s="176"/>
      <c r="K225" s="281"/>
      <c r="L225" s="281"/>
      <c r="M225" s="281"/>
      <c r="N225" s="280"/>
    </row>
    <row r="226" spans="2:14">
      <c r="B226" s="188"/>
      <c r="C226" s="189"/>
      <c r="D226" s="189"/>
      <c r="E226" s="189"/>
      <c r="F226" s="189"/>
      <c r="G226" s="190"/>
      <c r="H226" s="192"/>
      <c r="I226" s="193"/>
      <c r="J226" s="176"/>
      <c r="K226" s="194"/>
      <c r="L226" s="194"/>
      <c r="M226" s="194"/>
      <c r="N226" s="191"/>
    </row>
    <row r="227" spans="2:14">
      <c r="B227" s="541"/>
      <c r="C227" s="542"/>
      <c r="D227" s="542"/>
      <c r="E227" s="542"/>
      <c r="F227" s="542"/>
      <c r="G227" s="543"/>
      <c r="H227" s="205"/>
      <c r="I227" s="206"/>
      <c r="J227" s="181" t="s">
        <v>358</v>
      </c>
      <c r="K227" s="196">
        <f>K228</f>
        <v>0</v>
      </c>
      <c r="L227" s="196">
        <f t="shared" ref="L227:M227" si="51">L228</f>
        <v>0</v>
      </c>
      <c r="M227" s="196">
        <f t="shared" si="51"/>
        <v>0</v>
      </c>
      <c r="N227" s="204"/>
    </row>
    <row r="228" spans="2:14">
      <c r="B228" s="541"/>
      <c r="C228" s="542"/>
      <c r="D228" s="542"/>
      <c r="E228" s="542"/>
      <c r="F228" s="542"/>
      <c r="G228" s="543"/>
      <c r="H228" s="205"/>
      <c r="I228" s="206"/>
      <c r="J228" s="176" t="s">
        <v>195</v>
      </c>
      <c r="K228" s="207"/>
      <c r="L228" s="207"/>
      <c r="M228" s="207"/>
      <c r="N228" s="204"/>
    </row>
    <row r="229" spans="2:14">
      <c r="B229" s="209"/>
      <c r="C229" s="210"/>
      <c r="D229" s="210"/>
      <c r="E229" s="210"/>
      <c r="F229" s="210"/>
      <c r="G229" s="211"/>
      <c r="H229" s="205"/>
      <c r="I229" s="206"/>
      <c r="J229" s="176"/>
      <c r="K229" s="207"/>
      <c r="L229" s="207"/>
      <c r="M229" s="207"/>
      <c r="N229" s="204"/>
    </row>
    <row r="230" spans="2:14">
      <c r="B230" s="188"/>
      <c r="C230" s="189"/>
      <c r="D230" s="189"/>
      <c r="E230" s="189"/>
      <c r="F230" s="189"/>
      <c r="G230" s="190"/>
      <c r="H230" s="192"/>
      <c r="I230" s="193"/>
      <c r="J230" s="181" t="s">
        <v>322</v>
      </c>
      <c r="K230" s="196">
        <f>SUM(K231:K241)</f>
        <v>219000</v>
      </c>
      <c r="L230" s="196">
        <f t="shared" ref="L230" si="52">SUM(L231:L241)</f>
        <v>218375</v>
      </c>
      <c r="M230" s="196">
        <f t="shared" ref="M230" si="53">SUM(M231:M241)</f>
        <v>220066</v>
      </c>
      <c r="N230" s="191"/>
    </row>
    <row r="231" spans="2:14">
      <c r="B231" s="188"/>
      <c r="C231" s="189"/>
      <c r="D231" s="189"/>
      <c r="E231" s="189"/>
      <c r="F231" s="189"/>
      <c r="G231" s="190"/>
      <c r="H231" s="192"/>
      <c r="I231" s="193"/>
      <c r="J231" s="176" t="s">
        <v>191</v>
      </c>
      <c r="K231" s="339">
        <v>13560</v>
      </c>
      <c r="L231" s="339">
        <v>13560</v>
      </c>
      <c r="M231" s="339">
        <v>13560</v>
      </c>
      <c r="N231" s="191"/>
    </row>
    <row r="232" spans="2:14">
      <c r="B232" s="282"/>
      <c r="C232" s="283"/>
      <c r="D232" s="283"/>
      <c r="E232" s="283"/>
      <c r="F232" s="283"/>
      <c r="G232" s="284"/>
      <c r="H232" s="285"/>
      <c r="I232" s="286"/>
      <c r="J232" s="176" t="s">
        <v>384</v>
      </c>
      <c r="K232" s="281"/>
      <c r="L232" s="281"/>
      <c r="M232" s="281"/>
      <c r="N232" s="280"/>
    </row>
    <row r="233" spans="2:14">
      <c r="B233" s="188"/>
      <c r="C233" s="189"/>
      <c r="D233" s="189"/>
      <c r="E233" s="189"/>
      <c r="F233" s="189"/>
      <c r="G233" s="190"/>
      <c r="H233" s="192"/>
      <c r="I233" s="193"/>
      <c r="J233" s="176" t="s">
        <v>341</v>
      </c>
      <c r="K233" s="194"/>
      <c r="L233" s="194"/>
      <c r="M233" s="194"/>
      <c r="N233" s="191"/>
    </row>
    <row r="234" spans="2:14">
      <c r="B234" s="188"/>
      <c r="C234" s="189"/>
      <c r="D234" s="189"/>
      <c r="E234" s="189"/>
      <c r="F234" s="189"/>
      <c r="G234" s="190"/>
      <c r="H234" s="192"/>
      <c r="I234" s="193"/>
      <c r="J234" s="176" t="s">
        <v>193</v>
      </c>
      <c r="K234" s="339">
        <v>205440</v>
      </c>
      <c r="L234" s="339">
        <v>204815</v>
      </c>
      <c r="M234" s="339">
        <v>206506</v>
      </c>
      <c r="N234" s="191"/>
    </row>
    <row r="235" spans="2:14">
      <c r="B235" s="188"/>
      <c r="C235" s="189"/>
      <c r="D235" s="189"/>
      <c r="E235" s="189"/>
      <c r="F235" s="189"/>
      <c r="G235" s="190"/>
      <c r="H235" s="192"/>
      <c r="I235" s="193"/>
      <c r="J235" s="176" t="s">
        <v>346</v>
      </c>
      <c r="K235" s="194"/>
      <c r="L235" s="194"/>
      <c r="M235" s="194"/>
      <c r="N235" s="191"/>
    </row>
    <row r="236" spans="2:14">
      <c r="B236" s="188"/>
      <c r="C236" s="189"/>
      <c r="D236" s="189"/>
      <c r="E236" s="189"/>
      <c r="F236" s="189"/>
      <c r="G236" s="190"/>
      <c r="H236" s="192"/>
      <c r="I236" s="193"/>
      <c r="J236" s="176" t="s">
        <v>194</v>
      </c>
      <c r="K236" s="194"/>
      <c r="L236" s="194"/>
      <c r="M236" s="194"/>
      <c r="N236" s="191"/>
    </row>
    <row r="237" spans="2:14">
      <c r="B237" s="188"/>
      <c r="C237" s="189"/>
      <c r="D237" s="189"/>
      <c r="E237" s="189"/>
      <c r="F237" s="189"/>
      <c r="G237" s="190"/>
      <c r="H237" s="192"/>
      <c r="I237" s="193"/>
      <c r="J237" s="176" t="s">
        <v>195</v>
      </c>
      <c r="K237" s="194"/>
      <c r="L237" s="194"/>
      <c r="M237" s="194"/>
      <c r="N237" s="191"/>
    </row>
    <row r="238" spans="2:14">
      <c r="B238" s="188"/>
      <c r="C238" s="189"/>
      <c r="D238" s="189"/>
      <c r="E238" s="189"/>
      <c r="F238" s="189"/>
      <c r="G238" s="190"/>
      <c r="H238" s="192"/>
      <c r="I238" s="193"/>
      <c r="J238" s="176" t="s">
        <v>345</v>
      </c>
      <c r="K238" s="194"/>
      <c r="L238" s="194"/>
      <c r="M238" s="194"/>
      <c r="N238" s="191"/>
    </row>
    <row r="239" spans="2:14">
      <c r="B239" s="188"/>
      <c r="C239" s="189"/>
      <c r="D239" s="189"/>
      <c r="E239" s="189"/>
      <c r="F239" s="189"/>
      <c r="G239" s="190"/>
      <c r="H239" s="192"/>
      <c r="I239" s="193"/>
      <c r="J239" s="176" t="s">
        <v>348</v>
      </c>
      <c r="K239" s="194"/>
      <c r="L239" s="194"/>
      <c r="M239" s="194"/>
      <c r="N239" s="191"/>
    </row>
    <row r="240" spans="2:14">
      <c r="B240" s="188"/>
      <c r="C240" s="189"/>
      <c r="D240" s="189"/>
      <c r="E240" s="189"/>
      <c r="F240" s="189"/>
      <c r="G240" s="190"/>
      <c r="H240" s="192"/>
      <c r="I240" s="193"/>
      <c r="J240" s="176" t="s">
        <v>349</v>
      </c>
      <c r="K240" s="194"/>
      <c r="L240" s="194"/>
      <c r="M240" s="194"/>
      <c r="N240" s="191"/>
    </row>
    <row r="241" spans="2:14">
      <c r="B241" s="188"/>
      <c r="C241" s="189"/>
      <c r="D241" s="189"/>
      <c r="E241" s="189"/>
      <c r="F241" s="189"/>
      <c r="G241" s="190"/>
      <c r="H241" s="192"/>
      <c r="I241" s="193"/>
      <c r="J241" s="176" t="s">
        <v>350</v>
      </c>
      <c r="K241" s="194"/>
      <c r="L241" s="194"/>
      <c r="M241" s="194"/>
      <c r="N241" s="191"/>
    </row>
    <row r="242" spans="2:14">
      <c r="B242" s="282"/>
      <c r="C242" s="283"/>
      <c r="D242" s="283"/>
      <c r="E242" s="283"/>
      <c r="F242" s="283"/>
      <c r="G242" s="284"/>
      <c r="H242" s="285"/>
      <c r="I242" s="286"/>
      <c r="J242" s="176"/>
      <c r="K242" s="281"/>
      <c r="L242" s="281"/>
      <c r="M242" s="281"/>
      <c r="N242" s="280"/>
    </row>
    <row r="243" spans="2:14">
      <c r="B243" s="282"/>
      <c r="C243" s="283"/>
      <c r="D243" s="283"/>
      <c r="E243" s="283"/>
      <c r="F243" s="283"/>
      <c r="G243" s="284"/>
      <c r="H243" s="285"/>
      <c r="I243" s="286"/>
      <c r="J243" s="176"/>
      <c r="K243" s="281"/>
      <c r="L243" s="281"/>
      <c r="M243" s="281"/>
      <c r="N243" s="280"/>
    </row>
    <row r="244" spans="2:14">
      <c r="B244" s="282"/>
      <c r="C244" s="283"/>
      <c r="D244" s="283"/>
      <c r="E244" s="283"/>
      <c r="F244" s="283"/>
      <c r="G244" s="284"/>
      <c r="H244" s="285"/>
      <c r="I244" s="286"/>
      <c r="J244" s="176"/>
      <c r="K244" s="281"/>
      <c r="L244" s="281"/>
      <c r="M244" s="281"/>
      <c r="N244" s="280"/>
    </row>
    <row r="245" spans="2:14">
      <c r="B245" s="282"/>
      <c r="C245" s="283"/>
      <c r="D245" s="283"/>
      <c r="E245" s="283"/>
      <c r="F245" s="283"/>
      <c r="G245" s="284"/>
      <c r="H245" s="285"/>
      <c r="I245" s="286"/>
      <c r="J245" s="176"/>
      <c r="K245" s="281"/>
      <c r="L245" s="281"/>
      <c r="M245" s="281"/>
      <c r="N245" s="280"/>
    </row>
    <row r="246" spans="2:14">
      <c r="B246" s="282"/>
      <c r="C246" s="283"/>
      <c r="D246" s="283"/>
      <c r="E246" s="283"/>
      <c r="F246" s="283"/>
      <c r="G246" s="284"/>
      <c r="H246" s="285"/>
      <c r="I246" s="286"/>
      <c r="J246" s="176"/>
      <c r="K246" s="281"/>
      <c r="L246" s="281"/>
      <c r="M246" s="281"/>
      <c r="N246" s="280"/>
    </row>
    <row r="247" spans="2:14">
      <c r="B247" s="282"/>
      <c r="C247" s="283"/>
      <c r="D247" s="283"/>
      <c r="E247" s="283"/>
      <c r="F247" s="283"/>
      <c r="G247" s="284"/>
      <c r="H247" s="285"/>
      <c r="I247" s="286"/>
      <c r="J247" s="176"/>
      <c r="K247" s="281"/>
      <c r="L247" s="281"/>
      <c r="M247" s="281"/>
      <c r="N247" s="280"/>
    </row>
    <row r="248" spans="2:14">
      <c r="B248" s="188"/>
      <c r="C248" s="189"/>
      <c r="D248" s="189"/>
      <c r="E248" s="189"/>
      <c r="F248" s="189"/>
      <c r="G248" s="190"/>
      <c r="H248" s="192"/>
      <c r="I248" s="193"/>
      <c r="J248" s="176"/>
      <c r="K248" s="194"/>
      <c r="L248" s="194"/>
      <c r="M248" s="194"/>
      <c r="N248" s="191"/>
    </row>
    <row r="249" spans="2:14">
      <c r="B249" s="188"/>
      <c r="C249" s="189"/>
      <c r="D249" s="189"/>
      <c r="E249" s="189"/>
      <c r="F249" s="189"/>
      <c r="G249" s="190"/>
      <c r="H249" s="192"/>
      <c r="I249" s="193"/>
      <c r="J249" s="181" t="s">
        <v>325</v>
      </c>
      <c r="K249" s="196">
        <f>K250+K251</f>
        <v>0</v>
      </c>
      <c r="L249" s="196">
        <f t="shared" ref="L249:M249" si="54">L250+L251</f>
        <v>0</v>
      </c>
      <c r="M249" s="196">
        <f t="shared" si="54"/>
        <v>0</v>
      </c>
      <c r="N249" s="191"/>
    </row>
    <row r="250" spans="2:14">
      <c r="B250" s="188"/>
      <c r="C250" s="189"/>
      <c r="D250" s="189"/>
      <c r="E250" s="189"/>
      <c r="F250" s="189"/>
      <c r="G250" s="190"/>
      <c r="H250" s="192"/>
      <c r="I250" s="193"/>
      <c r="J250" s="176" t="s">
        <v>346</v>
      </c>
      <c r="K250" s="194"/>
      <c r="L250" s="194"/>
      <c r="M250" s="194"/>
      <c r="N250" s="191"/>
    </row>
    <row r="251" spans="2:14">
      <c r="B251" s="188"/>
      <c r="C251" s="189"/>
      <c r="D251" s="189"/>
      <c r="E251" s="189"/>
      <c r="F251" s="189"/>
      <c r="G251" s="190"/>
      <c r="H251" s="192"/>
      <c r="I251" s="193"/>
      <c r="J251" s="176" t="s">
        <v>345</v>
      </c>
      <c r="K251" s="194"/>
      <c r="L251" s="194"/>
      <c r="M251" s="194"/>
      <c r="N251" s="191"/>
    </row>
    <row r="252" spans="2:14">
      <c r="B252" s="188"/>
      <c r="C252" s="189"/>
      <c r="D252" s="189"/>
      <c r="E252" s="189"/>
      <c r="F252" s="189"/>
      <c r="G252" s="190"/>
      <c r="H252" s="192"/>
      <c r="I252" s="193"/>
      <c r="J252" s="176"/>
      <c r="K252" s="194"/>
      <c r="L252" s="194"/>
      <c r="M252" s="194"/>
      <c r="N252" s="191"/>
    </row>
    <row r="253" spans="2:14">
      <c r="B253" s="188"/>
      <c r="C253" s="189"/>
      <c r="D253" s="189"/>
      <c r="E253" s="189"/>
      <c r="F253" s="189"/>
      <c r="G253" s="190"/>
      <c r="H253" s="192"/>
      <c r="I253" s="193"/>
      <c r="J253" s="197" t="s">
        <v>324</v>
      </c>
      <c r="K253" s="196">
        <f>SUM(K254:K264)</f>
        <v>50000</v>
      </c>
      <c r="L253" s="196">
        <f t="shared" ref="L253:M253" si="55">SUM(L254:L264)</f>
        <v>50000</v>
      </c>
      <c r="M253" s="196">
        <f t="shared" si="55"/>
        <v>50000</v>
      </c>
      <c r="N253" s="191"/>
    </row>
    <row r="254" spans="2:14">
      <c r="B254" s="188"/>
      <c r="C254" s="189"/>
      <c r="D254" s="189"/>
      <c r="E254" s="189"/>
      <c r="F254" s="189"/>
      <c r="G254" s="190"/>
      <c r="H254" s="192"/>
      <c r="I254" s="193"/>
      <c r="J254" s="176" t="s">
        <v>191</v>
      </c>
      <c r="K254" s="194"/>
      <c r="L254" s="194"/>
      <c r="M254" s="194"/>
      <c r="N254" s="191"/>
    </row>
    <row r="255" spans="2:14">
      <c r="B255" s="282"/>
      <c r="C255" s="283"/>
      <c r="D255" s="283"/>
      <c r="E255" s="283"/>
      <c r="F255" s="283"/>
      <c r="G255" s="284"/>
      <c r="H255" s="285"/>
      <c r="I255" s="286"/>
      <c r="J255" s="176" t="s">
        <v>384</v>
      </c>
      <c r="K255" s="281"/>
      <c r="L255" s="281"/>
      <c r="M255" s="281"/>
      <c r="N255" s="280"/>
    </row>
    <row r="256" spans="2:14">
      <c r="B256" s="188"/>
      <c r="C256" s="189"/>
      <c r="D256" s="189"/>
      <c r="E256" s="189"/>
      <c r="F256" s="189"/>
      <c r="G256" s="190"/>
      <c r="H256" s="192"/>
      <c r="I256" s="193"/>
      <c r="J256" s="176" t="s">
        <v>341</v>
      </c>
      <c r="K256" s="339">
        <v>50000</v>
      </c>
      <c r="L256" s="339">
        <v>50000</v>
      </c>
      <c r="M256" s="339">
        <v>50000</v>
      </c>
      <c r="N256" s="191"/>
    </row>
    <row r="257" spans="2:14">
      <c r="B257" s="188"/>
      <c r="C257" s="189"/>
      <c r="D257" s="189"/>
      <c r="E257" s="189"/>
      <c r="F257" s="189"/>
      <c r="G257" s="190"/>
      <c r="H257" s="192"/>
      <c r="I257" s="193"/>
      <c r="J257" s="176" t="s">
        <v>193</v>
      </c>
      <c r="K257" s="194"/>
      <c r="L257" s="194"/>
      <c r="M257" s="194"/>
      <c r="N257" s="191"/>
    </row>
    <row r="258" spans="2:14">
      <c r="B258" s="188"/>
      <c r="C258" s="189"/>
      <c r="D258" s="189"/>
      <c r="E258" s="189"/>
      <c r="F258" s="189"/>
      <c r="G258" s="190"/>
      <c r="H258" s="192"/>
      <c r="I258" s="193"/>
      <c r="J258" s="176" t="s">
        <v>346</v>
      </c>
      <c r="K258" s="194"/>
      <c r="L258" s="194"/>
      <c r="M258" s="194"/>
      <c r="N258" s="191"/>
    </row>
    <row r="259" spans="2:14">
      <c r="B259" s="188"/>
      <c r="C259" s="189"/>
      <c r="D259" s="189"/>
      <c r="E259" s="189"/>
      <c r="F259" s="189"/>
      <c r="G259" s="190"/>
      <c r="H259" s="192"/>
      <c r="I259" s="193"/>
      <c r="J259" s="176" t="s">
        <v>194</v>
      </c>
      <c r="K259" s="194"/>
      <c r="L259" s="194"/>
      <c r="M259" s="194"/>
      <c r="N259" s="191"/>
    </row>
    <row r="260" spans="2:14">
      <c r="B260" s="188"/>
      <c r="C260" s="189"/>
      <c r="D260" s="189"/>
      <c r="E260" s="189"/>
      <c r="F260" s="189"/>
      <c r="G260" s="190"/>
      <c r="H260" s="192"/>
      <c r="I260" s="193"/>
      <c r="J260" s="176" t="s">
        <v>195</v>
      </c>
      <c r="K260" s="194"/>
      <c r="L260" s="194"/>
      <c r="M260" s="194"/>
      <c r="N260" s="191"/>
    </row>
    <row r="261" spans="2:14">
      <c r="B261" s="188"/>
      <c r="C261" s="189"/>
      <c r="D261" s="189"/>
      <c r="E261" s="189"/>
      <c r="F261" s="189"/>
      <c r="G261" s="190"/>
      <c r="H261" s="192"/>
      <c r="I261" s="193"/>
      <c r="J261" s="176" t="s">
        <v>345</v>
      </c>
      <c r="K261" s="194"/>
      <c r="L261" s="194"/>
      <c r="M261" s="194"/>
      <c r="N261" s="191"/>
    </row>
    <row r="262" spans="2:14">
      <c r="B262" s="188"/>
      <c r="C262" s="189"/>
      <c r="D262" s="189"/>
      <c r="E262" s="189"/>
      <c r="F262" s="189"/>
      <c r="G262" s="190"/>
      <c r="H262" s="192"/>
      <c r="I262" s="193"/>
      <c r="J262" s="176" t="s">
        <v>348</v>
      </c>
      <c r="K262" s="194"/>
      <c r="L262" s="194"/>
      <c r="M262" s="194"/>
      <c r="N262" s="191"/>
    </row>
    <row r="263" spans="2:14">
      <c r="B263" s="103"/>
      <c r="C263" s="104"/>
      <c r="D263" s="104"/>
      <c r="E263" s="104"/>
      <c r="F263" s="104"/>
      <c r="G263" s="105"/>
      <c r="H263" s="111"/>
      <c r="I263" s="112"/>
      <c r="J263" s="176" t="s">
        <v>349</v>
      </c>
      <c r="K263" s="109"/>
      <c r="L263" s="109"/>
      <c r="M263" s="109"/>
      <c r="N263" s="110"/>
    </row>
    <row r="264" spans="2:14">
      <c r="B264" s="103"/>
      <c r="C264" s="104"/>
      <c r="D264" s="104"/>
      <c r="E264" s="104"/>
      <c r="F264" s="104"/>
      <c r="G264" s="105"/>
      <c r="H264" s="111"/>
      <c r="I264" s="112"/>
      <c r="J264" s="176" t="s">
        <v>350</v>
      </c>
      <c r="K264" s="109"/>
      <c r="L264" s="109"/>
      <c r="M264" s="109"/>
      <c r="N264" s="110"/>
    </row>
    <row r="265" spans="2:14">
      <c r="B265" s="282"/>
      <c r="C265" s="283"/>
      <c r="D265" s="283"/>
      <c r="E265" s="283"/>
      <c r="F265" s="283"/>
      <c r="G265" s="284"/>
      <c r="H265" s="285"/>
      <c r="I265" s="286"/>
      <c r="J265" s="176"/>
      <c r="K265" s="281"/>
      <c r="L265" s="281"/>
      <c r="M265" s="281"/>
      <c r="N265" s="280"/>
    </row>
    <row r="266" spans="2:14">
      <c r="B266" s="282"/>
      <c r="C266" s="283"/>
      <c r="D266" s="283"/>
      <c r="E266" s="283"/>
      <c r="F266" s="283"/>
      <c r="G266" s="284"/>
      <c r="H266" s="285"/>
      <c r="I266" s="286"/>
      <c r="J266" s="176"/>
      <c r="K266" s="281"/>
      <c r="L266" s="281"/>
      <c r="M266" s="281"/>
      <c r="N266" s="280"/>
    </row>
    <row r="267" spans="2:14">
      <c r="B267" s="282"/>
      <c r="C267" s="283"/>
      <c r="D267" s="283"/>
      <c r="E267" s="283"/>
      <c r="F267" s="283"/>
      <c r="G267" s="284"/>
      <c r="H267" s="285"/>
      <c r="I267" s="286"/>
      <c r="J267" s="176"/>
      <c r="K267" s="281"/>
      <c r="L267" s="281"/>
      <c r="M267" s="281"/>
      <c r="N267" s="280"/>
    </row>
    <row r="268" spans="2:14">
      <c r="B268" s="282"/>
      <c r="C268" s="283"/>
      <c r="D268" s="283"/>
      <c r="E268" s="283"/>
      <c r="F268" s="283"/>
      <c r="G268" s="284"/>
      <c r="H268" s="285"/>
      <c r="I268" s="286"/>
      <c r="J268" s="176"/>
      <c r="K268" s="281"/>
      <c r="L268" s="281"/>
      <c r="M268" s="281"/>
      <c r="N268" s="280"/>
    </row>
    <row r="269" spans="2:14">
      <c r="B269" s="282"/>
      <c r="C269" s="283"/>
      <c r="D269" s="283"/>
      <c r="E269" s="283"/>
      <c r="F269" s="283"/>
      <c r="G269" s="284"/>
      <c r="H269" s="285"/>
      <c r="I269" s="286"/>
      <c r="J269" s="176"/>
      <c r="K269" s="281"/>
      <c r="L269" s="281"/>
      <c r="M269" s="281"/>
      <c r="N269" s="280"/>
    </row>
    <row r="270" spans="2:14">
      <c r="B270" s="188"/>
      <c r="C270" s="189"/>
      <c r="D270" s="189"/>
      <c r="E270" s="189"/>
      <c r="F270" s="189"/>
      <c r="G270" s="190"/>
      <c r="H270" s="192"/>
      <c r="I270" s="193"/>
      <c r="J270" s="176"/>
      <c r="K270" s="194"/>
      <c r="L270" s="194"/>
      <c r="M270" s="194"/>
      <c r="N270" s="191"/>
    </row>
    <row r="271" spans="2:14">
      <c r="B271" s="188"/>
      <c r="C271" s="189"/>
      <c r="D271" s="189"/>
      <c r="E271" s="189"/>
      <c r="F271" s="189"/>
      <c r="G271" s="190"/>
      <c r="H271" s="192"/>
      <c r="I271" s="193"/>
      <c r="J271" s="197" t="s">
        <v>323</v>
      </c>
      <c r="K271" s="196">
        <f>SUM(K272:K283)</f>
        <v>115025</v>
      </c>
      <c r="L271" s="196">
        <f t="shared" ref="L271" si="56">SUM(L272:L282)</f>
        <v>55025</v>
      </c>
      <c r="M271" s="196">
        <f t="shared" ref="M271" si="57">SUM(M272:M282)</f>
        <v>55025</v>
      </c>
      <c r="N271" s="191"/>
    </row>
    <row r="272" spans="2:14">
      <c r="B272" s="188"/>
      <c r="C272" s="189"/>
      <c r="D272" s="189"/>
      <c r="E272" s="189"/>
      <c r="F272" s="189"/>
      <c r="G272" s="190"/>
      <c r="H272" s="192"/>
      <c r="I272" s="193"/>
      <c r="J272" s="176" t="s">
        <v>191</v>
      </c>
      <c r="K272" s="339">
        <v>3835</v>
      </c>
      <c r="L272" s="339">
        <v>3835</v>
      </c>
      <c r="M272" s="339">
        <v>3835</v>
      </c>
      <c r="N272" s="191"/>
    </row>
    <row r="273" spans="2:14">
      <c r="B273" s="282"/>
      <c r="C273" s="283"/>
      <c r="D273" s="283"/>
      <c r="E273" s="283"/>
      <c r="F273" s="283"/>
      <c r="G273" s="284"/>
      <c r="H273" s="285"/>
      <c r="I273" s="286"/>
      <c r="J273" s="176" t="s">
        <v>385</v>
      </c>
      <c r="K273" s="281"/>
      <c r="L273" s="281"/>
      <c r="M273" s="281"/>
      <c r="N273" s="280"/>
    </row>
    <row r="274" spans="2:14">
      <c r="B274" s="188"/>
      <c r="C274" s="189"/>
      <c r="D274" s="189"/>
      <c r="E274" s="189"/>
      <c r="F274" s="189"/>
      <c r="G274" s="190"/>
      <c r="H274" s="192"/>
      <c r="I274" s="193"/>
      <c r="J274" s="176" t="s">
        <v>341</v>
      </c>
      <c r="K274" s="339">
        <v>47500</v>
      </c>
      <c r="L274" s="339">
        <v>47500</v>
      </c>
      <c r="M274" s="339">
        <v>47500</v>
      </c>
      <c r="N274" s="191"/>
    </row>
    <row r="275" spans="2:14">
      <c r="B275" s="188"/>
      <c r="C275" s="189"/>
      <c r="D275" s="189"/>
      <c r="E275" s="189"/>
      <c r="F275" s="189"/>
      <c r="G275" s="190"/>
      <c r="H275" s="192"/>
      <c r="I275" s="193"/>
      <c r="J275" s="176" t="s">
        <v>193</v>
      </c>
      <c r="K275" s="339">
        <v>3690</v>
      </c>
      <c r="L275" s="339">
        <v>3690</v>
      </c>
      <c r="M275" s="339">
        <v>3690</v>
      </c>
      <c r="N275" s="191"/>
    </row>
    <row r="276" spans="2:14">
      <c r="B276" s="188"/>
      <c r="C276" s="189"/>
      <c r="D276" s="189"/>
      <c r="E276" s="189"/>
      <c r="F276" s="189"/>
      <c r="G276" s="190"/>
      <c r="H276" s="192"/>
      <c r="I276" s="193"/>
      <c r="J276" s="176" t="s">
        <v>346</v>
      </c>
      <c r="K276" s="194"/>
      <c r="L276" s="194"/>
      <c r="M276" s="194"/>
      <c r="N276" s="191"/>
    </row>
    <row r="277" spans="2:14">
      <c r="B277" s="188"/>
      <c r="C277" s="189"/>
      <c r="D277" s="189"/>
      <c r="E277" s="189"/>
      <c r="F277" s="189"/>
      <c r="G277" s="190"/>
      <c r="H277" s="192"/>
      <c r="I277" s="193"/>
      <c r="J277" s="176" t="s">
        <v>194</v>
      </c>
      <c r="K277" s="194"/>
      <c r="L277" s="194"/>
      <c r="M277" s="194"/>
      <c r="N277" s="191"/>
    </row>
    <row r="278" spans="2:14">
      <c r="B278" s="188"/>
      <c r="C278" s="189"/>
      <c r="D278" s="189"/>
      <c r="E278" s="189"/>
      <c r="F278" s="189"/>
      <c r="G278" s="190"/>
      <c r="H278" s="192"/>
      <c r="I278" s="193"/>
      <c r="J278" s="176" t="s">
        <v>195</v>
      </c>
      <c r="K278" s="194"/>
      <c r="L278" s="194"/>
      <c r="M278" s="194"/>
      <c r="N278" s="191"/>
    </row>
    <row r="279" spans="2:14">
      <c r="B279" s="188"/>
      <c r="C279" s="189"/>
      <c r="D279" s="189"/>
      <c r="E279" s="189"/>
      <c r="F279" s="189"/>
      <c r="G279" s="190"/>
      <c r="H279" s="192"/>
      <c r="I279" s="193"/>
      <c r="J279" s="176" t="s">
        <v>345</v>
      </c>
      <c r="K279" s="194"/>
      <c r="L279" s="194"/>
      <c r="M279" s="194"/>
      <c r="N279" s="191"/>
    </row>
    <row r="280" spans="2:14">
      <c r="B280" s="188"/>
      <c r="C280" s="189"/>
      <c r="D280" s="189"/>
      <c r="E280" s="189"/>
      <c r="F280" s="189"/>
      <c r="G280" s="190"/>
      <c r="H280" s="192"/>
      <c r="I280" s="193"/>
      <c r="J280" s="176" t="s">
        <v>348</v>
      </c>
      <c r="K280" s="194"/>
      <c r="L280" s="194"/>
      <c r="M280" s="194"/>
      <c r="N280" s="191"/>
    </row>
    <row r="281" spans="2:14">
      <c r="B281" s="188"/>
      <c r="C281" s="189"/>
      <c r="D281" s="189"/>
      <c r="E281" s="189"/>
      <c r="F281" s="189"/>
      <c r="G281" s="190"/>
      <c r="H281" s="192"/>
      <c r="I281" s="193"/>
      <c r="J281" s="176" t="s">
        <v>349</v>
      </c>
      <c r="K281" s="194"/>
      <c r="L281" s="194"/>
      <c r="M281" s="194"/>
      <c r="N281" s="191"/>
    </row>
    <row r="282" spans="2:14">
      <c r="B282" s="188"/>
      <c r="C282" s="189"/>
      <c r="D282" s="189"/>
      <c r="E282" s="189"/>
      <c r="F282" s="189"/>
      <c r="G282" s="190"/>
      <c r="H282" s="192"/>
      <c r="I282" s="193"/>
      <c r="J282" s="176" t="s">
        <v>350</v>
      </c>
      <c r="K282" s="194"/>
      <c r="L282" s="194"/>
      <c r="M282" s="194"/>
      <c r="N282" s="191"/>
    </row>
    <row r="283" spans="2:14">
      <c r="B283" s="282"/>
      <c r="C283" s="283"/>
      <c r="D283" s="283"/>
      <c r="E283" s="283"/>
      <c r="F283" s="283"/>
      <c r="G283" s="284"/>
      <c r="H283" s="285"/>
      <c r="I283" s="286"/>
      <c r="J283" s="267" t="s">
        <v>347</v>
      </c>
      <c r="K283" s="281">
        <v>60000</v>
      </c>
      <c r="L283" s="281"/>
      <c r="M283" s="281"/>
      <c r="N283" s="280"/>
    </row>
    <row r="284" spans="2:14">
      <c r="B284" s="282"/>
      <c r="C284" s="283"/>
      <c r="D284" s="283"/>
      <c r="E284" s="283"/>
      <c r="F284" s="283"/>
      <c r="G284" s="284"/>
      <c r="H284" s="285"/>
      <c r="I284" s="286"/>
      <c r="J284" s="176"/>
      <c r="K284" s="281"/>
      <c r="L284" s="281"/>
      <c r="M284" s="281"/>
      <c r="N284" s="280"/>
    </row>
    <row r="285" spans="2:14">
      <c r="B285" s="282"/>
      <c r="C285" s="283"/>
      <c r="D285" s="283"/>
      <c r="E285" s="283"/>
      <c r="F285" s="283"/>
      <c r="G285" s="284"/>
      <c r="H285" s="285"/>
      <c r="I285" s="286"/>
      <c r="J285" s="176"/>
      <c r="K285" s="281"/>
      <c r="L285" s="281"/>
      <c r="M285" s="281"/>
      <c r="N285" s="280"/>
    </row>
    <row r="286" spans="2:14">
      <c r="B286" s="282"/>
      <c r="C286" s="283"/>
      <c r="D286" s="283"/>
      <c r="E286" s="283"/>
      <c r="F286" s="283"/>
      <c r="G286" s="284"/>
      <c r="H286" s="285"/>
      <c r="I286" s="286"/>
      <c r="J286" s="176"/>
      <c r="K286" s="281"/>
      <c r="L286" s="281"/>
      <c r="M286" s="281"/>
      <c r="N286" s="280"/>
    </row>
    <row r="287" spans="2:14" ht="17.25" customHeight="1">
      <c r="B287" s="282"/>
      <c r="C287" s="283"/>
      <c r="D287" s="283"/>
      <c r="E287" s="283"/>
      <c r="F287" s="283"/>
      <c r="G287" s="284"/>
      <c r="H287" s="285"/>
      <c r="I287" s="286"/>
      <c r="J287" s="176"/>
      <c r="K287" s="281"/>
      <c r="L287" s="281"/>
      <c r="M287" s="281"/>
      <c r="N287" s="280"/>
    </row>
    <row r="288" spans="2:14">
      <c r="B288" s="188"/>
      <c r="C288" s="189"/>
      <c r="D288" s="189"/>
      <c r="E288" s="189"/>
      <c r="F288" s="189"/>
      <c r="G288" s="190"/>
      <c r="H288" s="192"/>
      <c r="I288" s="193"/>
      <c r="J288" s="176"/>
      <c r="K288" s="194"/>
      <c r="L288" s="194"/>
      <c r="M288" s="194"/>
      <c r="N288" s="191"/>
    </row>
    <row r="289" spans="2:14">
      <c r="B289" s="188"/>
      <c r="C289" s="189"/>
      <c r="D289" s="189"/>
      <c r="E289" s="189"/>
      <c r="F289" s="189"/>
      <c r="G289" s="190"/>
      <c r="H289" s="192"/>
      <c r="I289" s="193"/>
      <c r="J289" s="197" t="s">
        <v>342</v>
      </c>
      <c r="K289" s="196">
        <f>SUM(K290:K300)</f>
        <v>6120</v>
      </c>
      <c r="L289" s="196">
        <f t="shared" ref="L289" si="58">SUM(L290:L300)</f>
        <v>6120</v>
      </c>
      <c r="M289" s="196">
        <f t="shared" ref="M289" si="59">SUM(M290:M300)</f>
        <v>6120</v>
      </c>
      <c r="N289" s="191"/>
    </row>
    <row r="290" spans="2:14">
      <c r="B290" s="188"/>
      <c r="C290" s="189"/>
      <c r="D290" s="189"/>
      <c r="E290" s="189"/>
      <c r="F290" s="189"/>
      <c r="G290" s="190"/>
      <c r="H290" s="192"/>
      <c r="I290" s="193"/>
      <c r="J290" s="176" t="s">
        <v>191</v>
      </c>
      <c r="K290" s="194"/>
      <c r="L290" s="194"/>
      <c r="M290" s="194"/>
      <c r="N290" s="191"/>
    </row>
    <row r="291" spans="2:14">
      <c r="B291" s="282"/>
      <c r="C291" s="283"/>
      <c r="D291" s="283"/>
      <c r="E291" s="283"/>
      <c r="F291" s="283"/>
      <c r="G291" s="284"/>
      <c r="H291" s="285"/>
      <c r="I291" s="286"/>
      <c r="J291" s="176" t="s">
        <v>384</v>
      </c>
      <c r="K291" s="281"/>
      <c r="L291" s="281"/>
      <c r="M291" s="281"/>
      <c r="N291" s="280"/>
    </row>
    <row r="292" spans="2:14">
      <c r="B292" s="188"/>
      <c r="C292" s="189"/>
      <c r="D292" s="189"/>
      <c r="E292" s="189"/>
      <c r="F292" s="189"/>
      <c r="G292" s="190"/>
      <c r="H292" s="192"/>
      <c r="I292" s="193"/>
      <c r="J292" s="176" t="s">
        <v>341</v>
      </c>
      <c r="K292" s="339">
        <v>6120</v>
      </c>
      <c r="L292" s="339">
        <v>6120</v>
      </c>
      <c r="M292" s="339">
        <v>6120</v>
      </c>
      <c r="N292" s="191"/>
    </row>
    <row r="293" spans="2:14">
      <c r="B293" s="188"/>
      <c r="C293" s="189"/>
      <c r="D293" s="189"/>
      <c r="E293" s="189"/>
      <c r="F293" s="189"/>
      <c r="G293" s="190"/>
      <c r="H293" s="192"/>
      <c r="I293" s="193"/>
      <c r="J293" s="176" t="s">
        <v>193</v>
      </c>
      <c r="K293" s="194"/>
      <c r="L293" s="194"/>
      <c r="M293" s="194"/>
      <c r="N293" s="191"/>
    </row>
    <row r="294" spans="2:14">
      <c r="B294" s="188"/>
      <c r="C294" s="189"/>
      <c r="D294" s="189"/>
      <c r="E294" s="189"/>
      <c r="F294" s="189"/>
      <c r="G294" s="190"/>
      <c r="H294" s="192"/>
      <c r="I294" s="193"/>
      <c r="J294" s="176" t="s">
        <v>346</v>
      </c>
      <c r="K294" s="194"/>
      <c r="L294" s="194"/>
      <c r="M294" s="194"/>
      <c r="N294" s="191"/>
    </row>
    <row r="295" spans="2:14">
      <c r="B295" s="188"/>
      <c r="C295" s="189"/>
      <c r="D295" s="189"/>
      <c r="E295" s="189"/>
      <c r="F295" s="189"/>
      <c r="G295" s="190"/>
      <c r="H295" s="192"/>
      <c r="I295" s="193"/>
      <c r="J295" s="176" t="s">
        <v>347</v>
      </c>
      <c r="K295" s="194"/>
      <c r="L295" s="194"/>
      <c r="M295" s="194"/>
      <c r="N295" s="191"/>
    </row>
    <row r="296" spans="2:14">
      <c r="B296" s="188"/>
      <c r="C296" s="189"/>
      <c r="D296" s="189"/>
      <c r="E296" s="189"/>
      <c r="F296" s="189"/>
      <c r="G296" s="190"/>
      <c r="H296" s="192"/>
      <c r="I296" s="193"/>
      <c r="J296" s="176" t="s">
        <v>195</v>
      </c>
      <c r="K296" s="194"/>
      <c r="L296" s="194"/>
      <c r="M296" s="194"/>
      <c r="N296" s="191"/>
    </row>
    <row r="297" spans="2:14">
      <c r="B297" s="188"/>
      <c r="C297" s="189"/>
      <c r="D297" s="189"/>
      <c r="E297" s="189"/>
      <c r="F297" s="189"/>
      <c r="G297" s="190"/>
      <c r="H297" s="192"/>
      <c r="I297" s="193"/>
      <c r="J297" s="176" t="s">
        <v>345</v>
      </c>
      <c r="K297" s="194"/>
      <c r="L297" s="194"/>
      <c r="M297" s="194"/>
      <c r="N297" s="191"/>
    </row>
    <row r="298" spans="2:14">
      <c r="B298" s="103"/>
      <c r="C298" s="104"/>
      <c r="D298" s="104"/>
      <c r="E298" s="104"/>
      <c r="F298" s="104"/>
      <c r="G298" s="105"/>
      <c r="H298" s="111"/>
      <c r="I298" s="112"/>
      <c r="J298" s="176" t="s">
        <v>348</v>
      </c>
      <c r="K298" s="194"/>
      <c r="L298" s="194"/>
      <c r="M298" s="194"/>
      <c r="N298" s="110"/>
    </row>
    <row r="299" spans="2:14">
      <c r="B299" s="103"/>
      <c r="C299" s="104"/>
      <c r="D299" s="104"/>
      <c r="E299" s="104"/>
      <c r="F299" s="104"/>
      <c r="G299" s="105"/>
      <c r="H299" s="111"/>
      <c r="I299" s="112"/>
      <c r="J299" s="176" t="s">
        <v>349</v>
      </c>
      <c r="K299" s="194"/>
      <c r="L299" s="194"/>
      <c r="M299" s="194"/>
      <c r="N299" s="110"/>
    </row>
    <row r="300" spans="2:14">
      <c r="B300" s="103"/>
      <c r="C300" s="104"/>
      <c r="D300" s="104"/>
      <c r="E300" s="104"/>
      <c r="F300" s="104"/>
      <c r="G300" s="105"/>
      <c r="H300" s="111"/>
      <c r="I300" s="112"/>
      <c r="J300" s="176" t="s">
        <v>350</v>
      </c>
      <c r="K300" s="194"/>
      <c r="L300" s="194"/>
      <c r="M300" s="194"/>
      <c r="N300" s="110"/>
    </row>
    <row r="301" spans="2:14">
      <c r="B301" s="282"/>
      <c r="C301" s="283"/>
      <c r="D301" s="283"/>
      <c r="E301" s="283"/>
      <c r="F301" s="283"/>
      <c r="G301" s="284"/>
      <c r="H301" s="285"/>
      <c r="I301" s="286"/>
      <c r="J301" s="176"/>
      <c r="K301" s="281"/>
      <c r="L301" s="281"/>
      <c r="M301" s="281"/>
      <c r="N301" s="280"/>
    </row>
    <row r="302" spans="2:14">
      <c r="B302" s="282"/>
      <c r="C302" s="283"/>
      <c r="D302" s="283"/>
      <c r="E302" s="283"/>
      <c r="F302" s="283"/>
      <c r="G302" s="284"/>
      <c r="H302" s="285"/>
      <c r="I302" s="286"/>
      <c r="J302" s="176"/>
      <c r="K302" s="281"/>
      <c r="L302" s="281"/>
      <c r="M302" s="281"/>
      <c r="N302" s="280"/>
    </row>
    <row r="303" spans="2:14">
      <c r="B303" s="282"/>
      <c r="C303" s="283"/>
      <c r="D303" s="283"/>
      <c r="E303" s="283"/>
      <c r="F303" s="283"/>
      <c r="G303" s="284"/>
      <c r="H303" s="285"/>
      <c r="I303" s="286"/>
      <c r="J303" s="176"/>
      <c r="K303" s="281"/>
      <c r="L303" s="281"/>
      <c r="M303" s="281"/>
      <c r="N303" s="280"/>
    </row>
    <row r="304" spans="2:14">
      <c r="B304" s="282"/>
      <c r="C304" s="283"/>
      <c r="D304" s="283"/>
      <c r="E304" s="283"/>
      <c r="F304" s="283"/>
      <c r="G304" s="284"/>
      <c r="H304" s="285"/>
      <c r="I304" s="286"/>
      <c r="J304" s="176"/>
      <c r="K304" s="281"/>
      <c r="L304" s="281"/>
      <c r="M304" s="281"/>
      <c r="N304" s="280"/>
    </row>
    <row r="305" spans="1:71">
      <c r="B305" s="103"/>
      <c r="C305" s="104"/>
      <c r="D305" s="104"/>
      <c r="E305" s="104"/>
      <c r="F305" s="104"/>
      <c r="G305" s="105"/>
      <c r="H305" s="111"/>
      <c r="I305" s="112"/>
      <c r="J305" s="50"/>
      <c r="K305" s="109"/>
      <c r="L305" s="109"/>
      <c r="M305" s="109"/>
      <c r="N305" s="110"/>
    </row>
    <row r="306" spans="1:71">
      <c r="B306" s="103"/>
      <c r="C306" s="104"/>
      <c r="D306" s="104"/>
      <c r="E306" s="104"/>
      <c r="F306" s="104"/>
      <c r="G306" s="105"/>
      <c r="H306" s="111"/>
      <c r="I306" s="112"/>
      <c r="J306" s="50"/>
      <c r="K306" s="109"/>
      <c r="L306" s="109"/>
      <c r="M306" s="109"/>
      <c r="N306" s="110"/>
    </row>
    <row r="307" spans="1:71">
      <c r="B307" s="103"/>
      <c r="C307" s="104"/>
      <c r="D307" s="104"/>
      <c r="E307" s="104"/>
      <c r="F307" s="104"/>
      <c r="G307" s="105"/>
      <c r="H307" s="111"/>
      <c r="I307" s="112"/>
      <c r="J307" s="50"/>
      <c r="K307" s="109"/>
      <c r="L307" s="109"/>
      <c r="M307" s="109"/>
      <c r="N307" s="110"/>
    </row>
    <row r="308" spans="1:71">
      <c r="B308" s="103"/>
      <c r="C308" s="104"/>
      <c r="D308" s="104"/>
      <c r="E308" s="104"/>
      <c r="F308" s="104"/>
      <c r="G308" s="105"/>
      <c r="H308" s="111"/>
      <c r="I308" s="112"/>
      <c r="J308" s="50"/>
      <c r="K308" s="109"/>
      <c r="L308" s="109"/>
      <c r="M308" s="109"/>
      <c r="N308" s="110"/>
      <c r="P308" s="180"/>
      <c r="Q308" s="180"/>
      <c r="R308" s="38"/>
    </row>
    <row r="309" spans="1:71" s="38" customFormat="1">
      <c r="B309" s="529" t="s">
        <v>329</v>
      </c>
      <c r="C309" s="530"/>
      <c r="D309" s="530"/>
      <c r="E309" s="530"/>
      <c r="F309" s="530"/>
      <c r="G309" s="531"/>
      <c r="H309" s="178" t="s">
        <v>332</v>
      </c>
      <c r="I309" s="179" t="s">
        <v>333</v>
      </c>
      <c r="J309" s="55"/>
      <c r="K309" s="45">
        <f>K311</f>
        <v>0</v>
      </c>
      <c r="L309" s="45">
        <f t="shared" ref="L309:M309" si="60">L311</f>
        <v>0</v>
      </c>
      <c r="M309" s="45">
        <f t="shared" si="60"/>
        <v>0</v>
      </c>
      <c r="N309" s="56"/>
      <c r="O309" s="84"/>
      <c r="P309" s="84"/>
      <c r="Q309" s="84"/>
      <c r="R309" s="42"/>
    </row>
    <row r="310" spans="1:71" ht="24.75" customHeight="1">
      <c r="B310" s="526" t="s">
        <v>330</v>
      </c>
      <c r="C310" s="449"/>
      <c r="D310" s="449"/>
      <c r="E310" s="449"/>
      <c r="F310" s="449"/>
      <c r="G310" s="532"/>
      <c r="H310" s="5" t="s">
        <v>334</v>
      </c>
      <c r="I310" s="10" t="s">
        <v>336</v>
      </c>
      <c r="J310" s="50"/>
      <c r="K310" s="44"/>
      <c r="L310" s="44"/>
      <c r="M310" s="44"/>
      <c r="N310" s="51"/>
      <c r="O310" s="180"/>
    </row>
    <row r="311" spans="1:71" ht="23.25" customHeight="1">
      <c r="B311" s="526" t="s">
        <v>331</v>
      </c>
      <c r="C311" s="449"/>
      <c r="D311" s="449"/>
      <c r="E311" s="449"/>
      <c r="F311" s="449"/>
      <c r="G311" s="532"/>
      <c r="H311" s="5" t="s">
        <v>335</v>
      </c>
      <c r="I311" s="10" t="s">
        <v>337</v>
      </c>
      <c r="J311" s="181" t="s">
        <v>338</v>
      </c>
      <c r="K311" s="177">
        <f>K312</f>
        <v>0</v>
      </c>
      <c r="L311" s="177">
        <f t="shared" ref="L311:M311" si="61">L312</f>
        <v>0</v>
      </c>
      <c r="M311" s="177">
        <f t="shared" si="61"/>
        <v>0</v>
      </c>
      <c r="N311" s="95"/>
    </row>
    <row r="312" spans="1:71">
      <c r="B312" s="97"/>
      <c r="C312" s="100"/>
      <c r="D312" s="100"/>
      <c r="E312" s="100"/>
      <c r="F312" s="100"/>
      <c r="G312" s="100"/>
      <c r="H312" s="93"/>
      <c r="I312" s="94"/>
      <c r="J312" s="176" t="s">
        <v>193</v>
      </c>
      <c r="K312" s="95"/>
      <c r="L312" s="95"/>
      <c r="M312" s="95"/>
      <c r="N312" s="90"/>
    </row>
    <row r="313" spans="1:71">
      <c r="B313" s="97"/>
      <c r="C313" s="100"/>
      <c r="D313" s="100"/>
      <c r="E313" s="100"/>
      <c r="F313" s="100"/>
      <c r="G313" s="100"/>
      <c r="H313" s="93"/>
      <c r="I313" s="94"/>
      <c r="J313" s="50"/>
      <c r="K313" s="95"/>
      <c r="L313" s="95"/>
      <c r="M313" s="95"/>
      <c r="N313" s="90"/>
    </row>
    <row r="314" spans="1:71" s="38" customFormat="1">
      <c r="A314" s="42"/>
      <c r="B314" s="533" t="s">
        <v>101</v>
      </c>
      <c r="C314" s="534"/>
      <c r="D314" s="534"/>
      <c r="E314" s="534"/>
      <c r="F314" s="534"/>
      <c r="G314" s="534"/>
      <c r="H314" s="70" t="s">
        <v>102</v>
      </c>
      <c r="I314" s="71" t="s">
        <v>21</v>
      </c>
      <c r="J314" s="55"/>
      <c r="K314" s="45"/>
      <c r="L314" s="45"/>
      <c r="M314" s="45"/>
      <c r="N314" s="56" t="s">
        <v>21</v>
      </c>
      <c r="O314" s="84"/>
      <c r="P314" s="84"/>
      <c r="Q314" s="84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</row>
    <row r="315" spans="1:71" ht="15.75" thickBot="1">
      <c r="B315" s="535" t="s">
        <v>103</v>
      </c>
      <c r="C315" s="536"/>
      <c r="D315" s="536"/>
      <c r="E315" s="536"/>
      <c r="F315" s="536"/>
      <c r="G315" s="536"/>
      <c r="H315" s="4" t="s">
        <v>104</v>
      </c>
      <c r="I315" s="9" t="s">
        <v>105</v>
      </c>
      <c r="J315" s="58"/>
      <c r="K315" s="59"/>
      <c r="L315" s="59"/>
      <c r="M315" s="59"/>
      <c r="N315" s="60" t="s">
        <v>21</v>
      </c>
    </row>
  </sheetData>
  <mergeCells count="190">
    <mergeCell ref="B227:G227"/>
    <mergeCell ref="B228:G228"/>
    <mergeCell ref="B309:G309"/>
    <mergeCell ref="B310:G310"/>
    <mergeCell ref="B311:G311"/>
    <mergeCell ref="B136:G136"/>
    <mergeCell ref="B134:G134"/>
    <mergeCell ref="B198:G198"/>
    <mergeCell ref="B201:G201"/>
    <mergeCell ref="B202:G202"/>
    <mergeCell ref="B208:G208"/>
    <mergeCell ref="B209:G209"/>
    <mergeCell ref="B210:G210"/>
    <mergeCell ref="B147:G147"/>
    <mergeCell ref="B148:G148"/>
    <mergeCell ref="B149:G149"/>
    <mergeCell ref="B162:G162"/>
    <mergeCell ref="B183:G183"/>
    <mergeCell ref="B195:G195"/>
    <mergeCell ref="B141:G141"/>
    <mergeCell ref="B142:G142"/>
    <mergeCell ref="B143:G143"/>
    <mergeCell ref="B144:G144"/>
    <mergeCell ref="B145:G145"/>
    <mergeCell ref="B146:G146"/>
    <mergeCell ref="B152:G152"/>
    <mergeCell ref="B117:G117"/>
    <mergeCell ref="B120:G120"/>
    <mergeCell ref="B123:G123"/>
    <mergeCell ref="B121:G121"/>
    <mergeCell ref="B127:G127"/>
    <mergeCell ref="B125:G125"/>
    <mergeCell ref="B104:G104"/>
    <mergeCell ref="B105:G105"/>
    <mergeCell ref="B108:G108"/>
    <mergeCell ref="B109:G109"/>
    <mergeCell ref="B115:G115"/>
    <mergeCell ref="B116:G116"/>
    <mergeCell ref="B128:G128"/>
    <mergeCell ref="B129:G129"/>
    <mergeCell ref="B137:G137"/>
    <mergeCell ref="B139:G139"/>
    <mergeCell ref="B138:G138"/>
    <mergeCell ref="B80:G80"/>
    <mergeCell ref="B81:G81"/>
    <mergeCell ref="B96:G96"/>
    <mergeCell ref="B98:G98"/>
    <mergeCell ref="B100:G100"/>
    <mergeCell ref="B102:G102"/>
    <mergeCell ref="B60:G60"/>
    <mergeCell ref="B63:G63"/>
    <mergeCell ref="B66:G66"/>
    <mergeCell ref="B75:G75"/>
    <mergeCell ref="B79:G79"/>
    <mergeCell ref="D17:J17"/>
    <mergeCell ref="B36:G36"/>
    <mergeCell ref="K7:N7"/>
    <mergeCell ref="K10:L10"/>
    <mergeCell ref="M10:N10"/>
    <mergeCell ref="K11:N11"/>
    <mergeCell ref="D15:J15"/>
    <mergeCell ref="D16:J16"/>
    <mergeCell ref="K8:N8"/>
    <mergeCell ref="K9:N9"/>
    <mergeCell ref="B28:G28"/>
    <mergeCell ref="B27:G27"/>
    <mergeCell ref="N25:N26"/>
    <mergeCell ref="B18:D18"/>
    <mergeCell ref="B19:E19"/>
    <mergeCell ref="F19:I19"/>
    <mergeCell ref="D20:I20"/>
    <mergeCell ref="K2:N2"/>
    <mergeCell ref="K1:N1"/>
    <mergeCell ref="K4:N4"/>
    <mergeCell ref="K5:N5"/>
    <mergeCell ref="K6:N6"/>
    <mergeCell ref="B315:G315"/>
    <mergeCell ref="B314:G314"/>
    <mergeCell ref="B151:G151"/>
    <mergeCell ref="B150:G150"/>
    <mergeCell ref="B140:G140"/>
    <mergeCell ref="B135:G135"/>
    <mergeCell ref="B133:G133"/>
    <mergeCell ref="B132:G132"/>
    <mergeCell ref="B131:G131"/>
    <mergeCell ref="B130:G130"/>
    <mergeCell ref="B126:G126"/>
    <mergeCell ref="B124:G124"/>
    <mergeCell ref="B119:G119"/>
    <mergeCell ref="B118:G118"/>
    <mergeCell ref="B114:G114"/>
    <mergeCell ref="B95:G95"/>
    <mergeCell ref="B94:G94"/>
    <mergeCell ref="B91:G91"/>
    <mergeCell ref="B58:G58"/>
    <mergeCell ref="B57:G57"/>
    <mergeCell ref="B56:G56"/>
    <mergeCell ref="B55:G55"/>
    <mergeCell ref="B54:G54"/>
    <mergeCell ref="B53:G53"/>
    <mergeCell ref="B52:G52"/>
    <mergeCell ref="B51:G51"/>
    <mergeCell ref="M48:M49"/>
    <mergeCell ref="N48:N49"/>
    <mergeCell ref="B49:G49"/>
    <mergeCell ref="B50:G50"/>
    <mergeCell ref="B48:G48"/>
    <mergeCell ref="H48:H49"/>
    <mergeCell ref="I48:I49"/>
    <mergeCell ref="J48:J49"/>
    <mergeCell ref="K48:K49"/>
    <mergeCell ref="L48:L49"/>
    <mergeCell ref="B47:G47"/>
    <mergeCell ref="M44:M45"/>
    <mergeCell ref="N44:N45"/>
    <mergeCell ref="B45:G45"/>
    <mergeCell ref="B46:G46"/>
    <mergeCell ref="B44:G44"/>
    <mergeCell ref="H44:H45"/>
    <mergeCell ref="I44:I45"/>
    <mergeCell ref="J44:J45"/>
    <mergeCell ref="K44:K45"/>
    <mergeCell ref="L44:L45"/>
    <mergeCell ref="N41:N42"/>
    <mergeCell ref="B42:G42"/>
    <mergeCell ref="B43:G43"/>
    <mergeCell ref="B41:G41"/>
    <mergeCell ref="H41:H42"/>
    <mergeCell ref="I41:I42"/>
    <mergeCell ref="J41:J42"/>
    <mergeCell ref="K41:K42"/>
    <mergeCell ref="L41:L42"/>
    <mergeCell ref="M41:M42"/>
    <mergeCell ref="B39:G39"/>
    <mergeCell ref="B40:G40"/>
    <mergeCell ref="B38:G38"/>
    <mergeCell ref="H38:H39"/>
    <mergeCell ref="I38:I39"/>
    <mergeCell ref="J38:J39"/>
    <mergeCell ref="K38:K39"/>
    <mergeCell ref="L38:L39"/>
    <mergeCell ref="M38:M39"/>
    <mergeCell ref="P1:BS1"/>
    <mergeCell ref="P2:BS2"/>
    <mergeCell ref="B24:G26"/>
    <mergeCell ref="H24:H26"/>
    <mergeCell ref="I24:I26"/>
    <mergeCell ref="J24:J26"/>
    <mergeCell ref="K24:N24"/>
    <mergeCell ref="N38:N39"/>
    <mergeCell ref="B37:G37"/>
    <mergeCell ref="N13:N14"/>
    <mergeCell ref="B35:G35"/>
    <mergeCell ref="B33:G33"/>
    <mergeCell ref="B34:G34"/>
    <mergeCell ref="B32:G32"/>
    <mergeCell ref="H32:H33"/>
    <mergeCell ref="I32:I33"/>
    <mergeCell ref="J32:J33"/>
    <mergeCell ref="K32:K33"/>
    <mergeCell ref="L32:L33"/>
    <mergeCell ref="M32:M33"/>
    <mergeCell ref="N32:N33"/>
    <mergeCell ref="B31:G31"/>
    <mergeCell ref="B30:G30"/>
    <mergeCell ref="B29:G29"/>
    <mergeCell ref="B184:G184"/>
    <mergeCell ref="B190:G190"/>
    <mergeCell ref="B191:G191"/>
    <mergeCell ref="B192:G192"/>
    <mergeCell ref="B194:G194"/>
    <mergeCell ref="B197:G197"/>
    <mergeCell ref="B199:G199"/>
    <mergeCell ref="B154:G154"/>
    <mergeCell ref="B155:G155"/>
    <mergeCell ref="B156:G156"/>
    <mergeCell ref="B157:G157"/>
    <mergeCell ref="B161:G161"/>
    <mergeCell ref="B179:G179"/>
    <mergeCell ref="B180:G180"/>
    <mergeCell ref="B182:G182"/>
    <mergeCell ref="B158:G158"/>
    <mergeCell ref="B159:G159"/>
    <mergeCell ref="B160:G160"/>
    <mergeCell ref="B172:G172"/>
    <mergeCell ref="B173:G173"/>
    <mergeCell ref="B174:G174"/>
    <mergeCell ref="B176:G176"/>
    <mergeCell ref="B177:G177"/>
    <mergeCell ref="B178:G178"/>
  </mergeCells>
  <pageMargins left="0" right="0" top="0" bottom="0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71"/>
  <sheetViews>
    <sheetView view="pageBreakPreview" zoomScale="110" zoomScaleSheetLayoutView="110" workbookViewId="0">
      <selection activeCell="DG24" sqref="DG24:DS24"/>
    </sheetView>
  </sheetViews>
  <sheetFormatPr defaultColWidth="0.85546875" defaultRowHeight="11.25"/>
  <cols>
    <col min="1" max="60" width="0.85546875" style="101"/>
    <col min="61" max="61" width="0.85546875" style="101" customWidth="1"/>
    <col min="62" max="64" width="0.85546875" style="101"/>
    <col min="65" max="65" width="0.85546875" style="101" customWidth="1"/>
    <col min="66" max="75" width="0.85546875" style="101"/>
    <col min="76" max="77" width="0.85546875" style="101" customWidth="1"/>
    <col min="78" max="109" width="0.85546875" style="101"/>
    <col min="110" max="110" width="14.140625" style="301" customWidth="1"/>
    <col min="111" max="164" width="0.85546875" style="101"/>
    <col min="165" max="165" width="11.140625" style="101" customWidth="1"/>
    <col min="166" max="317" width="0.85546875" style="101"/>
    <col min="318" max="318" width="0.85546875" style="101" customWidth="1"/>
    <col min="319" max="321" width="0.85546875" style="101"/>
    <col min="322" max="322" width="0.85546875" style="101" customWidth="1"/>
    <col min="323" max="332" width="0.85546875" style="101"/>
    <col min="333" max="334" width="0.85546875" style="101" customWidth="1"/>
    <col min="335" max="573" width="0.85546875" style="101"/>
    <col min="574" max="574" width="0.85546875" style="101" customWidth="1"/>
    <col min="575" max="577" width="0.85546875" style="101"/>
    <col min="578" max="578" width="0.85546875" style="101" customWidth="1"/>
    <col min="579" max="588" width="0.85546875" style="101"/>
    <col min="589" max="590" width="0.85546875" style="101" customWidth="1"/>
    <col min="591" max="829" width="0.85546875" style="101"/>
    <col min="830" max="830" width="0.85546875" style="101" customWidth="1"/>
    <col min="831" max="833" width="0.85546875" style="101"/>
    <col min="834" max="834" width="0.85546875" style="101" customWidth="1"/>
    <col min="835" max="844" width="0.85546875" style="101"/>
    <col min="845" max="846" width="0.85546875" style="101" customWidth="1"/>
    <col min="847" max="1085" width="0.85546875" style="101"/>
    <col min="1086" max="1086" width="0.85546875" style="101" customWidth="1"/>
    <col min="1087" max="1089" width="0.85546875" style="101"/>
    <col min="1090" max="1090" width="0.85546875" style="101" customWidth="1"/>
    <col min="1091" max="1100" width="0.85546875" style="101"/>
    <col min="1101" max="1102" width="0.85546875" style="101" customWidth="1"/>
    <col min="1103" max="1341" width="0.85546875" style="101"/>
    <col min="1342" max="1342" width="0.85546875" style="101" customWidth="1"/>
    <col min="1343" max="1345" width="0.85546875" style="101"/>
    <col min="1346" max="1346" width="0.85546875" style="101" customWidth="1"/>
    <col min="1347" max="1356" width="0.85546875" style="101"/>
    <col min="1357" max="1358" width="0.85546875" style="101" customWidth="1"/>
    <col min="1359" max="1597" width="0.85546875" style="101"/>
    <col min="1598" max="1598" width="0.85546875" style="101" customWidth="1"/>
    <col min="1599" max="1601" width="0.85546875" style="101"/>
    <col min="1602" max="1602" width="0.85546875" style="101" customWidth="1"/>
    <col min="1603" max="1612" width="0.85546875" style="101"/>
    <col min="1613" max="1614" width="0.85546875" style="101" customWidth="1"/>
    <col min="1615" max="1853" width="0.85546875" style="101"/>
    <col min="1854" max="1854" width="0.85546875" style="101" customWidth="1"/>
    <col min="1855" max="1857" width="0.85546875" style="101"/>
    <col min="1858" max="1858" width="0.85546875" style="101" customWidth="1"/>
    <col min="1859" max="1868" width="0.85546875" style="101"/>
    <col min="1869" max="1870" width="0.85546875" style="101" customWidth="1"/>
    <col min="1871" max="2109" width="0.85546875" style="101"/>
    <col min="2110" max="2110" width="0.85546875" style="101" customWidth="1"/>
    <col min="2111" max="2113" width="0.85546875" style="101"/>
    <col min="2114" max="2114" width="0.85546875" style="101" customWidth="1"/>
    <col min="2115" max="2124" width="0.85546875" style="101"/>
    <col min="2125" max="2126" width="0.85546875" style="101" customWidth="1"/>
    <col min="2127" max="2365" width="0.85546875" style="101"/>
    <col min="2366" max="2366" width="0.85546875" style="101" customWidth="1"/>
    <col min="2367" max="2369" width="0.85546875" style="101"/>
    <col min="2370" max="2370" width="0.85546875" style="101" customWidth="1"/>
    <col min="2371" max="2380" width="0.85546875" style="101"/>
    <col min="2381" max="2382" width="0.85546875" style="101" customWidth="1"/>
    <col min="2383" max="2621" width="0.85546875" style="101"/>
    <col min="2622" max="2622" width="0.85546875" style="101" customWidth="1"/>
    <col min="2623" max="2625" width="0.85546875" style="101"/>
    <col min="2626" max="2626" width="0.85546875" style="101" customWidth="1"/>
    <col min="2627" max="2636" width="0.85546875" style="101"/>
    <col min="2637" max="2638" width="0.85546875" style="101" customWidth="1"/>
    <col min="2639" max="2877" width="0.85546875" style="101"/>
    <col min="2878" max="2878" width="0.85546875" style="101" customWidth="1"/>
    <col min="2879" max="2881" width="0.85546875" style="101"/>
    <col min="2882" max="2882" width="0.85546875" style="101" customWidth="1"/>
    <col min="2883" max="2892" width="0.85546875" style="101"/>
    <col min="2893" max="2894" width="0.85546875" style="101" customWidth="1"/>
    <col min="2895" max="3133" width="0.85546875" style="101"/>
    <col min="3134" max="3134" width="0.85546875" style="101" customWidth="1"/>
    <col min="3135" max="3137" width="0.85546875" style="101"/>
    <col min="3138" max="3138" width="0.85546875" style="101" customWidth="1"/>
    <col min="3139" max="3148" width="0.85546875" style="101"/>
    <col min="3149" max="3150" width="0.85546875" style="101" customWidth="1"/>
    <col min="3151" max="3389" width="0.85546875" style="101"/>
    <col min="3390" max="3390" width="0.85546875" style="101" customWidth="1"/>
    <col min="3391" max="3393" width="0.85546875" style="101"/>
    <col min="3394" max="3394" width="0.85546875" style="101" customWidth="1"/>
    <col min="3395" max="3404" width="0.85546875" style="101"/>
    <col min="3405" max="3406" width="0.85546875" style="101" customWidth="1"/>
    <col min="3407" max="3645" width="0.85546875" style="101"/>
    <col min="3646" max="3646" width="0.85546875" style="101" customWidth="1"/>
    <col min="3647" max="3649" width="0.85546875" style="101"/>
    <col min="3650" max="3650" width="0.85546875" style="101" customWidth="1"/>
    <col min="3651" max="3660" width="0.85546875" style="101"/>
    <col min="3661" max="3662" width="0.85546875" style="101" customWidth="1"/>
    <col min="3663" max="3901" width="0.85546875" style="101"/>
    <col min="3902" max="3902" width="0.85546875" style="101" customWidth="1"/>
    <col min="3903" max="3905" width="0.85546875" style="101"/>
    <col min="3906" max="3906" width="0.85546875" style="101" customWidth="1"/>
    <col min="3907" max="3916" width="0.85546875" style="101"/>
    <col min="3917" max="3918" width="0.85546875" style="101" customWidth="1"/>
    <col min="3919" max="4157" width="0.85546875" style="101"/>
    <col min="4158" max="4158" width="0.85546875" style="101" customWidth="1"/>
    <col min="4159" max="4161" width="0.85546875" style="101"/>
    <col min="4162" max="4162" width="0.85546875" style="101" customWidth="1"/>
    <col min="4163" max="4172" width="0.85546875" style="101"/>
    <col min="4173" max="4174" width="0.85546875" style="101" customWidth="1"/>
    <col min="4175" max="4413" width="0.85546875" style="101"/>
    <col min="4414" max="4414" width="0.85546875" style="101" customWidth="1"/>
    <col min="4415" max="4417" width="0.85546875" style="101"/>
    <col min="4418" max="4418" width="0.85546875" style="101" customWidth="1"/>
    <col min="4419" max="4428" width="0.85546875" style="101"/>
    <col min="4429" max="4430" width="0.85546875" style="101" customWidth="1"/>
    <col min="4431" max="4669" width="0.85546875" style="101"/>
    <col min="4670" max="4670" width="0.85546875" style="101" customWidth="1"/>
    <col min="4671" max="4673" width="0.85546875" style="101"/>
    <col min="4674" max="4674" width="0.85546875" style="101" customWidth="1"/>
    <col min="4675" max="4684" width="0.85546875" style="101"/>
    <col min="4685" max="4686" width="0.85546875" style="101" customWidth="1"/>
    <col min="4687" max="4925" width="0.85546875" style="101"/>
    <col min="4926" max="4926" width="0.85546875" style="101" customWidth="1"/>
    <col min="4927" max="4929" width="0.85546875" style="101"/>
    <col min="4930" max="4930" width="0.85546875" style="101" customWidth="1"/>
    <col min="4931" max="4940" width="0.85546875" style="101"/>
    <col min="4941" max="4942" width="0.85546875" style="101" customWidth="1"/>
    <col min="4943" max="5181" width="0.85546875" style="101"/>
    <col min="5182" max="5182" width="0.85546875" style="101" customWidth="1"/>
    <col min="5183" max="5185" width="0.85546875" style="101"/>
    <col min="5186" max="5186" width="0.85546875" style="101" customWidth="1"/>
    <col min="5187" max="5196" width="0.85546875" style="101"/>
    <col min="5197" max="5198" width="0.85546875" style="101" customWidth="1"/>
    <col min="5199" max="5437" width="0.85546875" style="101"/>
    <col min="5438" max="5438" width="0.85546875" style="101" customWidth="1"/>
    <col min="5439" max="5441" width="0.85546875" style="101"/>
    <col min="5442" max="5442" width="0.85546875" style="101" customWidth="1"/>
    <col min="5443" max="5452" width="0.85546875" style="101"/>
    <col min="5453" max="5454" width="0.85546875" style="101" customWidth="1"/>
    <col min="5455" max="5693" width="0.85546875" style="101"/>
    <col min="5694" max="5694" width="0.85546875" style="101" customWidth="1"/>
    <col min="5695" max="5697" width="0.85546875" style="101"/>
    <col min="5698" max="5698" width="0.85546875" style="101" customWidth="1"/>
    <col min="5699" max="5708" width="0.85546875" style="101"/>
    <col min="5709" max="5710" width="0.85546875" style="101" customWidth="1"/>
    <col min="5711" max="5949" width="0.85546875" style="101"/>
    <col min="5950" max="5950" width="0.85546875" style="101" customWidth="1"/>
    <col min="5951" max="5953" width="0.85546875" style="101"/>
    <col min="5954" max="5954" width="0.85546875" style="101" customWidth="1"/>
    <col min="5955" max="5964" width="0.85546875" style="101"/>
    <col min="5965" max="5966" width="0.85546875" style="101" customWidth="1"/>
    <col min="5967" max="6205" width="0.85546875" style="101"/>
    <col min="6206" max="6206" width="0.85546875" style="101" customWidth="1"/>
    <col min="6207" max="6209" width="0.85546875" style="101"/>
    <col min="6210" max="6210" width="0.85546875" style="101" customWidth="1"/>
    <col min="6211" max="6220" width="0.85546875" style="101"/>
    <col min="6221" max="6222" width="0.85546875" style="101" customWidth="1"/>
    <col min="6223" max="6461" width="0.85546875" style="101"/>
    <col min="6462" max="6462" width="0.85546875" style="101" customWidth="1"/>
    <col min="6463" max="6465" width="0.85546875" style="101"/>
    <col min="6466" max="6466" width="0.85546875" style="101" customWidth="1"/>
    <col min="6467" max="6476" width="0.85546875" style="101"/>
    <col min="6477" max="6478" width="0.85546875" style="101" customWidth="1"/>
    <col min="6479" max="6717" width="0.85546875" style="101"/>
    <col min="6718" max="6718" width="0.85546875" style="101" customWidth="1"/>
    <col min="6719" max="6721" width="0.85546875" style="101"/>
    <col min="6722" max="6722" width="0.85546875" style="101" customWidth="1"/>
    <col min="6723" max="6732" width="0.85546875" style="101"/>
    <col min="6733" max="6734" width="0.85546875" style="101" customWidth="1"/>
    <col min="6735" max="6973" width="0.85546875" style="101"/>
    <col min="6974" max="6974" width="0.85546875" style="101" customWidth="1"/>
    <col min="6975" max="6977" width="0.85546875" style="101"/>
    <col min="6978" max="6978" width="0.85546875" style="101" customWidth="1"/>
    <col min="6979" max="6988" width="0.85546875" style="101"/>
    <col min="6989" max="6990" width="0.85546875" style="101" customWidth="1"/>
    <col min="6991" max="7229" width="0.85546875" style="101"/>
    <col min="7230" max="7230" width="0.85546875" style="101" customWidth="1"/>
    <col min="7231" max="7233" width="0.85546875" style="101"/>
    <col min="7234" max="7234" width="0.85546875" style="101" customWidth="1"/>
    <col min="7235" max="7244" width="0.85546875" style="101"/>
    <col min="7245" max="7246" width="0.85546875" style="101" customWidth="1"/>
    <col min="7247" max="7485" width="0.85546875" style="101"/>
    <col min="7486" max="7486" width="0.85546875" style="101" customWidth="1"/>
    <col min="7487" max="7489" width="0.85546875" style="101"/>
    <col min="7490" max="7490" width="0.85546875" style="101" customWidth="1"/>
    <col min="7491" max="7500" width="0.85546875" style="101"/>
    <col min="7501" max="7502" width="0.85546875" style="101" customWidth="1"/>
    <col min="7503" max="7741" width="0.85546875" style="101"/>
    <col min="7742" max="7742" width="0.85546875" style="101" customWidth="1"/>
    <col min="7743" max="7745" width="0.85546875" style="101"/>
    <col min="7746" max="7746" width="0.85546875" style="101" customWidth="1"/>
    <col min="7747" max="7756" width="0.85546875" style="101"/>
    <col min="7757" max="7758" width="0.85546875" style="101" customWidth="1"/>
    <col min="7759" max="7997" width="0.85546875" style="101"/>
    <col min="7998" max="7998" width="0.85546875" style="101" customWidth="1"/>
    <col min="7999" max="8001" width="0.85546875" style="101"/>
    <col min="8002" max="8002" width="0.85546875" style="101" customWidth="1"/>
    <col min="8003" max="8012" width="0.85546875" style="101"/>
    <col min="8013" max="8014" width="0.85546875" style="101" customWidth="1"/>
    <col min="8015" max="8253" width="0.85546875" style="101"/>
    <col min="8254" max="8254" width="0.85546875" style="101" customWidth="1"/>
    <col min="8255" max="8257" width="0.85546875" style="101"/>
    <col min="8258" max="8258" width="0.85546875" style="101" customWidth="1"/>
    <col min="8259" max="8268" width="0.85546875" style="101"/>
    <col min="8269" max="8270" width="0.85546875" style="101" customWidth="1"/>
    <col min="8271" max="8509" width="0.85546875" style="101"/>
    <col min="8510" max="8510" width="0.85546875" style="101" customWidth="1"/>
    <col min="8511" max="8513" width="0.85546875" style="101"/>
    <col min="8514" max="8514" width="0.85546875" style="101" customWidth="1"/>
    <col min="8515" max="8524" width="0.85546875" style="101"/>
    <col min="8525" max="8526" width="0.85546875" style="101" customWidth="1"/>
    <col min="8527" max="8765" width="0.85546875" style="101"/>
    <col min="8766" max="8766" width="0.85546875" style="101" customWidth="1"/>
    <col min="8767" max="8769" width="0.85546875" style="101"/>
    <col min="8770" max="8770" width="0.85546875" style="101" customWidth="1"/>
    <col min="8771" max="8780" width="0.85546875" style="101"/>
    <col min="8781" max="8782" width="0.85546875" style="101" customWidth="1"/>
    <col min="8783" max="9021" width="0.85546875" style="101"/>
    <col min="9022" max="9022" width="0.85546875" style="101" customWidth="1"/>
    <col min="9023" max="9025" width="0.85546875" style="101"/>
    <col min="9026" max="9026" width="0.85546875" style="101" customWidth="1"/>
    <col min="9027" max="9036" width="0.85546875" style="101"/>
    <col min="9037" max="9038" width="0.85546875" style="101" customWidth="1"/>
    <col min="9039" max="9277" width="0.85546875" style="101"/>
    <col min="9278" max="9278" width="0.85546875" style="101" customWidth="1"/>
    <col min="9279" max="9281" width="0.85546875" style="101"/>
    <col min="9282" max="9282" width="0.85546875" style="101" customWidth="1"/>
    <col min="9283" max="9292" width="0.85546875" style="101"/>
    <col min="9293" max="9294" width="0.85546875" style="101" customWidth="1"/>
    <col min="9295" max="9533" width="0.85546875" style="101"/>
    <col min="9534" max="9534" width="0.85546875" style="101" customWidth="1"/>
    <col min="9535" max="9537" width="0.85546875" style="101"/>
    <col min="9538" max="9538" width="0.85546875" style="101" customWidth="1"/>
    <col min="9539" max="9548" width="0.85546875" style="101"/>
    <col min="9549" max="9550" width="0.85546875" style="101" customWidth="1"/>
    <col min="9551" max="9789" width="0.85546875" style="101"/>
    <col min="9790" max="9790" width="0.85546875" style="101" customWidth="1"/>
    <col min="9791" max="9793" width="0.85546875" style="101"/>
    <col min="9794" max="9794" width="0.85546875" style="101" customWidth="1"/>
    <col min="9795" max="9804" width="0.85546875" style="101"/>
    <col min="9805" max="9806" width="0.85546875" style="101" customWidth="1"/>
    <col min="9807" max="10045" width="0.85546875" style="101"/>
    <col min="10046" max="10046" width="0.85546875" style="101" customWidth="1"/>
    <col min="10047" max="10049" width="0.85546875" style="101"/>
    <col min="10050" max="10050" width="0.85546875" style="101" customWidth="1"/>
    <col min="10051" max="10060" width="0.85546875" style="101"/>
    <col min="10061" max="10062" width="0.85546875" style="101" customWidth="1"/>
    <col min="10063" max="10301" width="0.85546875" style="101"/>
    <col min="10302" max="10302" width="0.85546875" style="101" customWidth="1"/>
    <col min="10303" max="10305" width="0.85546875" style="101"/>
    <col min="10306" max="10306" width="0.85546875" style="101" customWidth="1"/>
    <col min="10307" max="10316" width="0.85546875" style="101"/>
    <col min="10317" max="10318" width="0.85546875" style="101" customWidth="1"/>
    <col min="10319" max="10557" width="0.85546875" style="101"/>
    <col min="10558" max="10558" width="0.85546875" style="101" customWidth="1"/>
    <col min="10559" max="10561" width="0.85546875" style="101"/>
    <col min="10562" max="10562" width="0.85546875" style="101" customWidth="1"/>
    <col min="10563" max="10572" width="0.85546875" style="101"/>
    <col min="10573" max="10574" width="0.85546875" style="101" customWidth="1"/>
    <col min="10575" max="10813" width="0.85546875" style="101"/>
    <col min="10814" max="10814" width="0.85546875" style="101" customWidth="1"/>
    <col min="10815" max="10817" width="0.85546875" style="101"/>
    <col min="10818" max="10818" width="0.85546875" style="101" customWidth="1"/>
    <col min="10819" max="10828" width="0.85546875" style="101"/>
    <col min="10829" max="10830" width="0.85546875" style="101" customWidth="1"/>
    <col min="10831" max="11069" width="0.85546875" style="101"/>
    <col min="11070" max="11070" width="0.85546875" style="101" customWidth="1"/>
    <col min="11071" max="11073" width="0.85546875" style="101"/>
    <col min="11074" max="11074" width="0.85546875" style="101" customWidth="1"/>
    <col min="11075" max="11084" width="0.85546875" style="101"/>
    <col min="11085" max="11086" width="0.85546875" style="101" customWidth="1"/>
    <col min="11087" max="11325" width="0.85546875" style="101"/>
    <col min="11326" max="11326" width="0.85546875" style="101" customWidth="1"/>
    <col min="11327" max="11329" width="0.85546875" style="101"/>
    <col min="11330" max="11330" width="0.85546875" style="101" customWidth="1"/>
    <col min="11331" max="11340" width="0.85546875" style="101"/>
    <col min="11341" max="11342" width="0.85546875" style="101" customWidth="1"/>
    <col min="11343" max="11581" width="0.85546875" style="101"/>
    <col min="11582" max="11582" width="0.85546875" style="101" customWidth="1"/>
    <col min="11583" max="11585" width="0.85546875" style="101"/>
    <col min="11586" max="11586" width="0.85546875" style="101" customWidth="1"/>
    <col min="11587" max="11596" width="0.85546875" style="101"/>
    <col min="11597" max="11598" width="0.85546875" style="101" customWidth="1"/>
    <col min="11599" max="11837" width="0.85546875" style="101"/>
    <col min="11838" max="11838" width="0.85546875" style="101" customWidth="1"/>
    <col min="11839" max="11841" width="0.85546875" style="101"/>
    <col min="11842" max="11842" width="0.85546875" style="101" customWidth="1"/>
    <col min="11843" max="11852" width="0.85546875" style="101"/>
    <col min="11853" max="11854" width="0.85546875" style="101" customWidth="1"/>
    <col min="11855" max="12093" width="0.85546875" style="101"/>
    <col min="12094" max="12094" width="0.85546875" style="101" customWidth="1"/>
    <col min="12095" max="12097" width="0.85546875" style="101"/>
    <col min="12098" max="12098" width="0.85546875" style="101" customWidth="1"/>
    <col min="12099" max="12108" width="0.85546875" style="101"/>
    <col min="12109" max="12110" width="0.85546875" style="101" customWidth="1"/>
    <col min="12111" max="12349" width="0.85546875" style="101"/>
    <col min="12350" max="12350" width="0.85546875" style="101" customWidth="1"/>
    <col min="12351" max="12353" width="0.85546875" style="101"/>
    <col min="12354" max="12354" width="0.85546875" style="101" customWidth="1"/>
    <col min="12355" max="12364" width="0.85546875" style="101"/>
    <col min="12365" max="12366" width="0.85546875" style="101" customWidth="1"/>
    <col min="12367" max="12605" width="0.85546875" style="101"/>
    <col min="12606" max="12606" width="0.85546875" style="101" customWidth="1"/>
    <col min="12607" max="12609" width="0.85546875" style="101"/>
    <col min="12610" max="12610" width="0.85546875" style="101" customWidth="1"/>
    <col min="12611" max="12620" width="0.85546875" style="101"/>
    <col min="12621" max="12622" width="0.85546875" style="101" customWidth="1"/>
    <col min="12623" max="12861" width="0.85546875" style="101"/>
    <col min="12862" max="12862" width="0.85546875" style="101" customWidth="1"/>
    <col min="12863" max="12865" width="0.85546875" style="101"/>
    <col min="12866" max="12866" width="0.85546875" style="101" customWidth="1"/>
    <col min="12867" max="12876" width="0.85546875" style="101"/>
    <col min="12877" max="12878" width="0.85546875" style="101" customWidth="1"/>
    <col min="12879" max="13117" width="0.85546875" style="101"/>
    <col min="13118" max="13118" width="0.85546875" style="101" customWidth="1"/>
    <col min="13119" max="13121" width="0.85546875" style="101"/>
    <col min="13122" max="13122" width="0.85546875" style="101" customWidth="1"/>
    <col min="13123" max="13132" width="0.85546875" style="101"/>
    <col min="13133" max="13134" width="0.85546875" style="101" customWidth="1"/>
    <col min="13135" max="13373" width="0.85546875" style="101"/>
    <col min="13374" max="13374" width="0.85546875" style="101" customWidth="1"/>
    <col min="13375" max="13377" width="0.85546875" style="101"/>
    <col min="13378" max="13378" width="0.85546875" style="101" customWidth="1"/>
    <col min="13379" max="13388" width="0.85546875" style="101"/>
    <col min="13389" max="13390" width="0.85546875" style="101" customWidth="1"/>
    <col min="13391" max="13629" width="0.85546875" style="101"/>
    <col min="13630" max="13630" width="0.85546875" style="101" customWidth="1"/>
    <col min="13631" max="13633" width="0.85546875" style="101"/>
    <col min="13634" max="13634" width="0.85546875" style="101" customWidth="1"/>
    <col min="13635" max="13644" width="0.85546875" style="101"/>
    <col min="13645" max="13646" width="0.85546875" style="101" customWidth="1"/>
    <col min="13647" max="13885" width="0.85546875" style="101"/>
    <col min="13886" max="13886" width="0.85546875" style="101" customWidth="1"/>
    <col min="13887" max="13889" width="0.85546875" style="101"/>
    <col min="13890" max="13890" width="0.85546875" style="101" customWidth="1"/>
    <col min="13891" max="13900" width="0.85546875" style="101"/>
    <col min="13901" max="13902" width="0.85546875" style="101" customWidth="1"/>
    <col min="13903" max="14141" width="0.85546875" style="101"/>
    <col min="14142" max="14142" width="0.85546875" style="101" customWidth="1"/>
    <col min="14143" max="14145" width="0.85546875" style="101"/>
    <col min="14146" max="14146" width="0.85546875" style="101" customWidth="1"/>
    <col min="14147" max="14156" width="0.85546875" style="101"/>
    <col min="14157" max="14158" width="0.85546875" style="101" customWidth="1"/>
    <col min="14159" max="14397" width="0.85546875" style="101"/>
    <col min="14398" max="14398" width="0.85546875" style="101" customWidth="1"/>
    <col min="14399" max="14401" width="0.85546875" style="101"/>
    <col min="14402" max="14402" width="0.85546875" style="101" customWidth="1"/>
    <col min="14403" max="14412" width="0.85546875" style="101"/>
    <col min="14413" max="14414" width="0.85546875" style="101" customWidth="1"/>
    <col min="14415" max="14653" width="0.85546875" style="101"/>
    <col min="14654" max="14654" width="0.85546875" style="101" customWidth="1"/>
    <col min="14655" max="14657" width="0.85546875" style="101"/>
    <col min="14658" max="14658" width="0.85546875" style="101" customWidth="1"/>
    <col min="14659" max="14668" width="0.85546875" style="101"/>
    <col min="14669" max="14670" width="0.85546875" style="101" customWidth="1"/>
    <col min="14671" max="14909" width="0.85546875" style="101"/>
    <col min="14910" max="14910" width="0.85546875" style="101" customWidth="1"/>
    <col min="14911" max="14913" width="0.85546875" style="101"/>
    <col min="14914" max="14914" width="0.85546875" style="101" customWidth="1"/>
    <col min="14915" max="14924" width="0.85546875" style="101"/>
    <col min="14925" max="14926" width="0.85546875" style="101" customWidth="1"/>
    <col min="14927" max="15165" width="0.85546875" style="101"/>
    <col min="15166" max="15166" width="0.85546875" style="101" customWidth="1"/>
    <col min="15167" max="15169" width="0.85546875" style="101"/>
    <col min="15170" max="15170" width="0.85546875" style="101" customWidth="1"/>
    <col min="15171" max="15180" width="0.85546875" style="101"/>
    <col min="15181" max="15182" width="0.85546875" style="101" customWidth="1"/>
    <col min="15183" max="15421" width="0.85546875" style="101"/>
    <col min="15422" max="15422" width="0.85546875" style="101" customWidth="1"/>
    <col min="15423" max="15425" width="0.85546875" style="101"/>
    <col min="15426" max="15426" width="0.85546875" style="101" customWidth="1"/>
    <col min="15427" max="15436" width="0.85546875" style="101"/>
    <col min="15437" max="15438" width="0.85546875" style="101" customWidth="1"/>
    <col min="15439" max="15677" width="0.85546875" style="101"/>
    <col min="15678" max="15678" width="0.85546875" style="101" customWidth="1"/>
    <col min="15679" max="15681" width="0.85546875" style="101"/>
    <col min="15682" max="15682" width="0.85546875" style="101" customWidth="1"/>
    <col min="15683" max="15692" width="0.85546875" style="101"/>
    <col min="15693" max="15694" width="0.85546875" style="101" customWidth="1"/>
    <col min="15695" max="15933" width="0.85546875" style="101"/>
    <col min="15934" max="15934" width="0.85546875" style="101" customWidth="1"/>
    <col min="15935" max="15937" width="0.85546875" style="101"/>
    <col min="15938" max="15938" width="0.85546875" style="101" customWidth="1"/>
    <col min="15939" max="15948" width="0.85546875" style="101"/>
    <col min="15949" max="15950" width="0.85546875" style="101" customWidth="1"/>
    <col min="15951" max="16189" width="0.85546875" style="101"/>
    <col min="16190" max="16190" width="0.85546875" style="101" customWidth="1"/>
    <col min="16191" max="16193" width="0.85546875" style="101"/>
    <col min="16194" max="16194" width="0.85546875" style="101" customWidth="1"/>
    <col min="16195" max="16204" width="0.85546875" style="101"/>
    <col min="16205" max="16206" width="0.85546875" style="101" customWidth="1"/>
    <col min="16207" max="16384" width="0.85546875" style="101"/>
  </cols>
  <sheetData>
    <row r="1" spans="1:165" s="19" customFormat="1" ht="15" customHeight="1">
      <c r="B1" s="667" t="s">
        <v>124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667"/>
      <c r="AX1" s="667"/>
      <c r="AY1" s="667"/>
      <c r="AZ1" s="667"/>
      <c r="BA1" s="667"/>
      <c r="BB1" s="667"/>
      <c r="BC1" s="667"/>
      <c r="BD1" s="667"/>
      <c r="BE1" s="667"/>
      <c r="BF1" s="667"/>
      <c r="BG1" s="667"/>
      <c r="BH1" s="667"/>
      <c r="BI1" s="667"/>
      <c r="BJ1" s="667"/>
      <c r="BK1" s="667"/>
      <c r="BL1" s="667"/>
      <c r="BM1" s="667"/>
      <c r="BN1" s="667"/>
      <c r="BO1" s="667"/>
      <c r="BP1" s="667"/>
      <c r="BQ1" s="667"/>
      <c r="BR1" s="667"/>
      <c r="BS1" s="667"/>
      <c r="BT1" s="667"/>
      <c r="BU1" s="667"/>
      <c r="BV1" s="667"/>
      <c r="BW1" s="667"/>
      <c r="BX1" s="667"/>
      <c r="BY1" s="667"/>
      <c r="BZ1" s="667"/>
      <c r="CA1" s="667"/>
      <c r="CB1" s="667"/>
      <c r="CC1" s="667"/>
      <c r="CD1" s="667"/>
      <c r="CE1" s="667"/>
      <c r="CF1" s="667"/>
      <c r="CG1" s="667"/>
      <c r="CH1" s="667"/>
      <c r="CI1" s="667"/>
      <c r="CJ1" s="667"/>
      <c r="CK1" s="667"/>
      <c r="CL1" s="667"/>
      <c r="CM1" s="667"/>
      <c r="CN1" s="667"/>
      <c r="CO1" s="667"/>
      <c r="CP1" s="667"/>
      <c r="CQ1" s="667"/>
      <c r="CR1" s="667"/>
      <c r="CS1" s="667"/>
      <c r="CT1" s="667"/>
      <c r="CU1" s="667"/>
      <c r="CV1" s="667"/>
      <c r="CW1" s="667"/>
      <c r="CX1" s="667"/>
      <c r="CY1" s="667"/>
      <c r="CZ1" s="667"/>
      <c r="DA1" s="667"/>
      <c r="DB1" s="667"/>
      <c r="DC1" s="667"/>
      <c r="DD1" s="667"/>
      <c r="DE1" s="667"/>
      <c r="DF1" s="667"/>
      <c r="DG1" s="667"/>
      <c r="DH1" s="667"/>
      <c r="DI1" s="667"/>
      <c r="DJ1" s="667"/>
      <c r="DK1" s="667"/>
      <c r="DL1" s="667"/>
      <c r="DM1" s="667"/>
      <c r="DN1" s="667"/>
      <c r="DO1" s="667"/>
      <c r="DP1" s="667"/>
      <c r="DQ1" s="667"/>
      <c r="DR1" s="667"/>
      <c r="DS1" s="667"/>
      <c r="DT1" s="667"/>
      <c r="DU1" s="667"/>
      <c r="DV1" s="667"/>
      <c r="DW1" s="667"/>
      <c r="DX1" s="667"/>
      <c r="DY1" s="667"/>
      <c r="DZ1" s="667"/>
      <c r="EA1" s="667"/>
      <c r="EB1" s="667"/>
      <c r="EC1" s="667"/>
      <c r="ED1" s="667"/>
      <c r="EE1" s="667"/>
      <c r="EF1" s="667"/>
      <c r="EG1" s="667"/>
      <c r="EH1" s="667"/>
      <c r="EI1" s="667"/>
      <c r="EJ1" s="667"/>
      <c r="EK1" s="667"/>
      <c r="EL1" s="667"/>
      <c r="EM1" s="667"/>
      <c r="EN1" s="667"/>
      <c r="EO1" s="667"/>
      <c r="EP1" s="667"/>
      <c r="EQ1" s="667"/>
      <c r="ER1" s="667"/>
      <c r="ES1" s="667"/>
      <c r="ET1" s="667"/>
      <c r="EU1" s="667"/>
      <c r="EV1" s="667"/>
      <c r="EW1" s="667"/>
      <c r="EX1" s="667"/>
      <c r="EY1" s="667"/>
      <c r="EZ1" s="667"/>
      <c r="FA1" s="667"/>
      <c r="FB1" s="667"/>
      <c r="FC1" s="667"/>
      <c r="FD1" s="667"/>
      <c r="FE1" s="667"/>
    </row>
    <row r="3" spans="1:165" ht="11.25" customHeight="1">
      <c r="A3" s="668" t="s">
        <v>125</v>
      </c>
      <c r="B3" s="668"/>
      <c r="C3" s="668"/>
      <c r="D3" s="668"/>
      <c r="E3" s="668"/>
      <c r="F3" s="668"/>
      <c r="G3" s="668"/>
      <c r="H3" s="669"/>
      <c r="I3" s="674" t="s">
        <v>0</v>
      </c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674"/>
      <c r="AN3" s="674"/>
      <c r="AO3" s="674"/>
      <c r="AP3" s="674"/>
      <c r="AQ3" s="674"/>
      <c r="AR3" s="674"/>
      <c r="AS3" s="674"/>
      <c r="AT3" s="674"/>
      <c r="AU3" s="674"/>
      <c r="AV3" s="674"/>
      <c r="AW3" s="674"/>
      <c r="AX3" s="674"/>
      <c r="AY3" s="674"/>
      <c r="AZ3" s="674"/>
      <c r="BA3" s="674"/>
      <c r="BB3" s="674"/>
      <c r="BC3" s="674"/>
      <c r="BD3" s="674"/>
      <c r="BE3" s="674"/>
      <c r="BF3" s="674"/>
      <c r="BG3" s="674"/>
      <c r="BH3" s="674"/>
      <c r="BI3" s="674"/>
      <c r="BJ3" s="674"/>
      <c r="BK3" s="674"/>
      <c r="BL3" s="674"/>
      <c r="BM3" s="674"/>
      <c r="BN3" s="674"/>
      <c r="BO3" s="674"/>
      <c r="BP3" s="674"/>
      <c r="BQ3" s="674"/>
      <c r="BR3" s="674"/>
      <c r="BS3" s="674"/>
      <c r="BT3" s="674"/>
      <c r="BU3" s="674"/>
      <c r="BV3" s="674"/>
      <c r="BW3" s="674"/>
      <c r="BX3" s="674"/>
      <c r="BY3" s="674"/>
      <c r="BZ3" s="674"/>
      <c r="CA3" s="674"/>
      <c r="CB3" s="674"/>
      <c r="CC3" s="674"/>
      <c r="CD3" s="674"/>
      <c r="CE3" s="674"/>
      <c r="CF3" s="674"/>
      <c r="CG3" s="674"/>
      <c r="CH3" s="674"/>
      <c r="CI3" s="674"/>
      <c r="CJ3" s="674"/>
      <c r="CK3" s="674"/>
      <c r="CL3" s="674"/>
      <c r="CM3" s="675"/>
      <c r="CN3" s="680" t="s">
        <v>126</v>
      </c>
      <c r="CO3" s="668"/>
      <c r="CP3" s="668"/>
      <c r="CQ3" s="668"/>
      <c r="CR3" s="668"/>
      <c r="CS3" s="668"/>
      <c r="CT3" s="668"/>
      <c r="CU3" s="669"/>
      <c r="CV3" s="680" t="s">
        <v>127</v>
      </c>
      <c r="CW3" s="668"/>
      <c r="CX3" s="668"/>
      <c r="CY3" s="668"/>
      <c r="CZ3" s="668"/>
      <c r="DA3" s="668"/>
      <c r="DB3" s="668"/>
      <c r="DC3" s="668"/>
      <c r="DD3" s="668"/>
      <c r="DE3" s="669"/>
      <c r="DF3" s="693" t="s">
        <v>392</v>
      </c>
      <c r="DG3" s="683" t="s">
        <v>4</v>
      </c>
      <c r="DH3" s="684"/>
      <c r="DI3" s="684"/>
      <c r="DJ3" s="684"/>
      <c r="DK3" s="684"/>
      <c r="DL3" s="684"/>
      <c r="DM3" s="684"/>
      <c r="DN3" s="684"/>
      <c r="DO3" s="684"/>
      <c r="DP3" s="684"/>
      <c r="DQ3" s="684"/>
      <c r="DR3" s="684"/>
      <c r="DS3" s="684"/>
      <c r="DT3" s="684"/>
      <c r="DU3" s="684"/>
      <c r="DV3" s="684"/>
      <c r="DW3" s="684"/>
      <c r="DX3" s="684"/>
      <c r="DY3" s="684"/>
      <c r="DZ3" s="684"/>
      <c r="EA3" s="684"/>
      <c r="EB3" s="684"/>
      <c r="EC3" s="684"/>
      <c r="ED3" s="684"/>
      <c r="EE3" s="684"/>
      <c r="EF3" s="684"/>
      <c r="EG3" s="684"/>
      <c r="EH3" s="684"/>
      <c r="EI3" s="684"/>
      <c r="EJ3" s="684"/>
      <c r="EK3" s="684"/>
      <c r="EL3" s="684"/>
      <c r="EM3" s="684"/>
      <c r="EN3" s="684"/>
      <c r="EO3" s="684"/>
      <c r="EP3" s="684"/>
      <c r="EQ3" s="684"/>
      <c r="ER3" s="684"/>
      <c r="ES3" s="684"/>
      <c r="ET3" s="684"/>
      <c r="EU3" s="684"/>
      <c r="EV3" s="684"/>
      <c r="EW3" s="684"/>
      <c r="EX3" s="684"/>
      <c r="EY3" s="684"/>
      <c r="EZ3" s="684"/>
      <c r="FA3" s="684"/>
      <c r="FB3" s="684"/>
      <c r="FC3" s="684"/>
      <c r="FD3" s="684"/>
      <c r="FE3" s="684"/>
      <c r="FF3" s="684"/>
    </row>
    <row r="4" spans="1:165" ht="11.25" customHeight="1">
      <c r="A4" s="670"/>
      <c r="B4" s="670"/>
      <c r="C4" s="670"/>
      <c r="D4" s="670"/>
      <c r="E4" s="670"/>
      <c r="F4" s="670"/>
      <c r="G4" s="670"/>
      <c r="H4" s="671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  <c r="BB4" s="676"/>
      <c r="BC4" s="676"/>
      <c r="BD4" s="676"/>
      <c r="BE4" s="676"/>
      <c r="BF4" s="676"/>
      <c r="BG4" s="676"/>
      <c r="BH4" s="676"/>
      <c r="BI4" s="676"/>
      <c r="BJ4" s="676"/>
      <c r="BK4" s="676"/>
      <c r="BL4" s="676"/>
      <c r="BM4" s="676"/>
      <c r="BN4" s="676"/>
      <c r="BO4" s="676"/>
      <c r="BP4" s="676"/>
      <c r="BQ4" s="676"/>
      <c r="BR4" s="676"/>
      <c r="BS4" s="676"/>
      <c r="BT4" s="676"/>
      <c r="BU4" s="676"/>
      <c r="BV4" s="676"/>
      <c r="BW4" s="676"/>
      <c r="BX4" s="676"/>
      <c r="BY4" s="676"/>
      <c r="BZ4" s="676"/>
      <c r="CA4" s="676"/>
      <c r="CB4" s="676"/>
      <c r="CC4" s="676"/>
      <c r="CD4" s="676"/>
      <c r="CE4" s="676"/>
      <c r="CF4" s="676"/>
      <c r="CG4" s="676"/>
      <c r="CH4" s="676"/>
      <c r="CI4" s="676"/>
      <c r="CJ4" s="676"/>
      <c r="CK4" s="676"/>
      <c r="CL4" s="676"/>
      <c r="CM4" s="677"/>
      <c r="CN4" s="681"/>
      <c r="CO4" s="670"/>
      <c r="CP4" s="670"/>
      <c r="CQ4" s="670"/>
      <c r="CR4" s="670"/>
      <c r="CS4" s="670"/>
      <c r="CT4" s="670"/>
      <c r="CU4" s="671"/>
      <c r="CV4" s="681"/>
      <c r="CW4" s="670"/>
      <c r="CX4" s="670"/>
      <c r="CY4" s="670"/>
      <c r="CZ4" s="670"/>
      <c r="DA4" s="670"/>
      <c r="DB4" s="670"/>
      <c r="DC4" s="670"/>
      <c r="DD4" s="670"/>
      <c r="DE4" s="671"/>
      <c r="DF4" s="694"/>
      <c r="DG4" s="685" t="s">
        <v>5</v>
      </c>
      <c r="DH4" s="686"/>
      <c r="DI4" s="686"/>
      <c r="DJ4" s="686"/>
      <c r="DK4" s="686"/>
      <c r="DL4" s="686"/>
      <c r="DM4" s="687" t="s">
        <v>199</v>
      </c>
      <c r="DN4" s="687"/>
      <c r="DO4" s="687"/>
      <c r="DP4" s="688" t="s">
        <v>6</v>
      </c>
      <c r="DQ4" s="688"/>
      <c r="DR4" s="688"/>
      <c r="DS4" s="689"/>
      <c r="DT4" s="685" t="s">
        <v>5</v>
      </c>
      <c r="DU4" s="686"/>
      <c r="DV4" s="686"/>
      <c r="DW4" s="686"/>
      <c r="DX4" s="686"/>
      <c r="DY4" s="686"/>
      <c r="DZ4" s="687" t="s">
        <v>200</v>
      </c>
      <c r="EA4" s="687"/>
      <c r="EB4" s="687"/>
      <c r="EC4" s="688" t="s">
        <v>6</v>
      </c>
      <c r="ED4" s="688"/>
      <c r="EE4" s="688"/>
      <c r="EF4" s="689"/>
      <c r="EG4" s="685" t="s">
        <v>5</v>
      </c>
      <c r="EH4" s="686"/>
      <c r="EI4" s="686"/>
      <c r="EJ4" s="686"/>
      <c r="EK4" s="686"/>
      <c r="EL4" s="686"/>
      <c r="EM4" s="687" t="s">
        <v>401</v>
      </c>
      <c r="EN4" s="687"/>
      <c r="EO4" s="687"/>
      <c r="EP4" s="688" t="s">
        <v>6</v>
      </c>
      <c r="EQ4" s="688"/>
      <c r="ER4" s="688"/>
      <c r="ES4" s="689"/>
      <c r="ET4" s="680" t="s">
        <v>7</v>
      </c>
      <c r="EU4" s="668"/>
      <c r="EV4" s="668"/>
      <c r="EW4" s="668"/>
      <c r="EX4" s="668"/>
      <c r="EY4" s="668"/>
      <c r="EZ4" s="668"/>
      <c r="FA4" s="668"/>
      <c r="FB4" s="668"/>
      <c r="FC4" s="668"/>
      <c r="FD4" s="668"/>
      <c r="FE4" s="668"/>
      <c r="FF4" s="668"/>
    </row>
    <row r="5" spans="1:165" ht="68.25" customHeight="1">
      <c r="A5" s="672"/>
      <c r="B5" s="672"/>
      <c r="C5" s="672"/>
      <c r="D5" s="672"/>
      <c r="E5" s="672"/>
      <c r="F5" s="672"/>
      <c r="G5" s="672"/>
      <c r="H5" s="673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678"/>
      <c r="AP5" s="678"/>
      <c r="AQ5" s="678"/>
      <c r="AR5" s="678"/>
      <c r="AS5" s="678"/>
      <c r="AT5" s="678"/>
      <c r="AU5" s="678"/>
      <c r="AV5" s="678"/>
      <c r="AW5" s="678"/>
      <c r="AX5" s="678"/>
      <c r="AY5" s="678"/>
      <c r="AZ5" s="678"/>
      <c r="BA5" s="678"/>
      <c r="BB5" s="678"/>
      <c r="BC5" s="678"/>
      <c r="BD5" s="678"/>
      <c r="BE5" s="678"/>
      <c r="BF5" s="678"/>
      <c r="BG5" s="678"/>
      <c r="BH5" s="678"/>
      <c r="BI5" s="678"/>
      <c r="BJ5" s="678"/>
      <c r="BK5" s="678"/>
      <c r="BL5" s="678"/>
      <c r="BM5" s="678"/>
      <c r="BN5" s="678"/>
      <c r="BO5" s="678"/>
      <c r="BP5" s="678"/>
      <c r="BQ5" s="678"/>
      <c r="BR5" s="678"/>
      <c r="BS5" s="678"/>
      <c r="BT5" s="678"/>
      <c r="BU5" s="678"/>
      <c r="BV5" s="678"/>
      <c r="BW5" s="678"/>
      <c r="BX5" s="678"/>
      <c r="BY5" s="678"/>
      <c r="BZ5" s="678"/>
      <c r="CA5" s="678"/>
      <c r="CB5" s="678"/>
      <c r="CC5" s="678"/>
      <c r="CD5" s="678"/>
      <c r="CE5" s="678"/>
      <c r="CF5" s="678"/>
      <c r="CG5" s="678"/>
      <c r="CH5" s="678"/>
      <c r="CI5" s="678"/>
      <c r="CJ5" s="678"/>
      <c r="CK5" s="678"/>
      <c r="CL5" s="678"/>
      <c r="CM5" s="679"/>
      <c r="CN5" s="682"/>
      <c r="CO5" s="672"/>
      <c r="CP5" s="672"/>
      <c r="CQ5" s="672"/>
      <c r="CR5" s="672"/>
      <c r="CS5" s="672"/>
      <c r="CT5" s="672"/>
      <c r="CU5" s="673"/>
      <c r="CV5" s="682"/>
      <c r="CW5" s="672"/>
      <c r="CX5" s="672"/>
      <c r="CY5" s="672"/>
      <c r="CZ5" s="672"/>
      <c r="DA5" s="672"/>
      <c r="DB5" s="672"/>
      <c r="DC5" s="672"/>
      <c r="DD5" s="672"/>
      <c r="DE5" s="673"/>
      <c r="DF5" s="695"/>
      <c r="DG5" s="690" t="s">
        <v>128</v>
      </c>
      <c r="DH5" s="691"/>
      <c r="DI5" s="691"/>
      <c r="DJ5" s="691"/>
      <c r="DK5" s="691"/>
      <c r="DL5" s="691"/>
      <c r="DM5" s="691"/>
      <c r="DN5" s="691"/>
      <c r="DO5" s="691"/>
      <c r="DP5" s="691"/>
      <c r="DQ5" s="691"/>
      <c r="DR5" s="691"/>
      <c r="DS5" s="692"/>
      <c r="DT5" s="690" t="s">
        <v>129</v>
      </c>
      <c r="DU5" s="691"/>
      <c r="DV5" s="691"/>
      <c r="DW5" s="691"/>
      <c r="DX5" s="691"/>
      <c r="DY5" s="691"/>
      <c r="DZ5" s="691"/>
      <c r="EA5" s="691"/>
      <c r="EB5" s="691"/>
      <c r="EC5" s="691"/>
      <c r="ED5" s="691"/>
      <c r="EE5" s="691"/>
      <c r="EF5" s="692"/>
      <c r="EG5" s="690" t="s">
        <v>130</v>
      </c>
      <c r="EH5" s="691"/>
      <c r="EI5" s="691"/>
      <c r="EJ5" s="691"/>
      <c r="EK5" s="691"/>
      <c r="EL5" s="691"/>
      <c r="EM5" s="691"/>
      <c r="EN5" s="691"/>
      <c r="EO5" s="691"/>
      <c r="EP5" s="691"/>
      <c r="EQ5" s="691"/>
      <c r="ER5" s="691"/>
      <c r="ES5" s="692"/>
      <c r="ET5" s="682"/>
      <c r="EU5" s="672"/>
      <c r="EV5" s="672"/>
      <c r="EW5" s="672"/>
      <c r="EX5" s="672"/>
      <c r="EY5" s="672"/>
      <c r="EZ5" s="672"/>
      <c r="FA5" s="672"/>
      <c r="FB5" s="672"/>
      <c r="FC5" s="672"/>
      <c r="FD5" s="672"/>
      <c r="FE5" s="672"/>
      <c r="FF5" s="672"/>
    </row>
    <row r="6" spans="1:165" ht="12" thickBot="1">
      <c r="A6" s="652" t="s">
        <v>11</v>
      </c>
      <c r="B6" s="652"/>
      <c r="C6" s="652"/>
      <c r="D6" s="652"/>
      <c r="E6" s="652"/>
      <c r="F6" s="652"/>
      <c r="G6" s="652"/>
      <c r="H6" s="653"/>
      <c r="I6" s="652" t="s">
        <v>12</v>
      </c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652"/>
      <c r="AL6" s="652"/>
      <c r="AM6" s="652"/>
      <c r="AN6" s="652"/>
      <c r="AO6" s="652"/>
      <c r="AP6" s="652"/>
      <c r="AQ6" s="652"/>
      <c r="AR6" s="652"/>
      <c r="AS6" s="652"/>
      <c r="AT6" s="652"/>
      <c r="AU6" s="652"/>
      <c r="AV6" s="652"/>
      <c r="AW6" s="652"/>
      <c r="AX6" s="652"/>
      <c r="AY6" s="652"/>
      <c r="AZ6" s="652"/>
      <c r="BA6" s="652"/>
      <c r="BB6" s="652"/>
      <c r="BC6" s="652"/>
      <c r="BD6" s="652"/>
      <c r="BE6" s="652"/>
      <c r="BF6" s="652"/>
      <c r="BG6" s="652"/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2"/>
      <c r="CG6" s="652"/>
      <c r="CH6" s="652"/>
      <c r="CI6" s="652"/>
      <c r="CJ6" s="652"/>
      <c r="CK6" s="652"/>
      <c r="CL6" s="652"/>
      <c r="CM6" s="653"/>
      <c r="CN6" s="654" t="s">
        <v>13</v>
      </c>
      <c r="CO6" s="655"/>
      <c r="CP6" s="655"/>
      <c r="CQ6" s="655"/>
      <c r="CR6" s="655"/>
      <c r="CS6" s="655"/>
      <c r="CT6" s="655"/>
      <c r="CU6" s="656"/>
      <c r="CV6" s="654" t="s">
        <v>14</v>
      </c>
      <c r="CW6" s="655"/>
      <c r="CX6" s="655"/>
      <c r="CY6" s="655"/>
      <c r="CZ6" s="655"/>
      <c r="DA6" s="655"/>
      <c r="DB6" s="655"/>
      <c r="DC6" s="655"/>
      <c r="DD6" s="655"/>
      <c r="DE6" s="656"/>
      <c r="DF6" s="295"/>
      <c r="DG6" s="654" t="s">
        <v>15</v>
      </c>
      <c r="DH6" s="655"/>
      <c r="DI6" s="655"/>
      <c r="DJ6" s="655"/>
      <c r="DK6" s="655"/>
      <c r="DL6" s="655"/>
      <c r="DM6" s="655"/>
      <c r="DN6" s="655"/>
      <c r="DO6" s="655"/>
      <c r="DP6" s="655"/>
      <c r="DQ6" s="655"/>
      <c r="DR6" s="655"/>
      <c r="DS6" s="656"/>
      <c r="DT6" s="654" t="s">
        <v>16</v>
      </c>
      <c r="DU6" s="655"/>
      <c r="DV6" s="655"/>
      <c r="DW6" s="655"/>
      <c r="DX6" s="655"/>
      <c r="DY6" s="655"/>
      <c r="DZ6" s="655"/>
      <c r="EA6" s="655"/>
      <c r="EB6" s="655"/>
      <c r="EC6" s="655"/>
      <c r="ED6" s="655"/>
      <c r="EE6" s="655"/>
      <c r="EF6" s="656"/>
      <c r="EG6" s="654" t="s">
        <v>17</v>
      </c>
      <c r="EH6" s="655"/>
      <c r="EI6" s="655"/>
      <c r="EJ6" s="655"/>
      <c r="EK6" s="655"/>
      <c r="EL6" s="655"/>
      <c r="EM6" s="655"/>
      <c r="EN6" s="655"/>
      <c r="EO6" s="655"/>
      <c r="EP6" s="655"/>
      <c r="EQ6" s="655"/>
      <c r="ER6" s="655"/>
      <c r="ES6" s="656"/>
      <c r="ET6" s="654" t="s">
        <v>18</v>
      </c>
      <c r="EU6" s="655"/>
      <c r="EV6" s="655"/>
      <c r="EW6" s="655"/>
      <c r="EX6" s="655"/>
      <c r="EY6" s="655"/>
      <c r="EZ6" s="655"/>
      <c r="FA6" s="655"/>
      <c r="FB6" s="655"/>
      <c r="FC6" s="655"/>
      <c r="FD6" s="655"/>
      <c r="FE6" s="655"/>
      <c r="FF6" s="655"/>
    </row>
    <row r="7" spans="1:165" ht="12.75" customHeight="1">
      <c r="A7" s="657">
        <v>1</v>
      </c>
      <c r="B7" s="657"/>
      <c r="C7" s="657"/>
      <c r="D7" s="657"/>
      <c r="E7" s="657"/>
      <c r="F7" s="657"/>
      <c r="G7" s="657"/>
      <c r="H7" s="658"/>
      <c r="I7" s="659" t="s">
        <v>131</v>
      </c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660"/>
      <c r="AM7" s="660"/>
      <c r="AN7" s="660"/>
      <c r="AO7" s="660"/>
      <c r="AP7" s="660"/>
      <c r="AQ7" s="660"/>
      <c r="AR7" s="660"/>
      <c r="AS7" s="660"/>
      <c r="AT7" s="660"/>
      <c r="AU7" s="660"/>
      <c r="AV7" s="660"/>
      <c r="AW7" s="660"/>
      <c r="AX7" s="660"/>
      <c r="AY7" s="660"/>
      <c r="AZ7" s="660"/>
      <c r="BA7" s="660"/>
      <c r="BB7" s="660"/>
      <c r="BC7" s="660"/>
      <c r="BD7" s="660"/>
      <c r="BE7" s="660"/>
      <c r="BF7" s="660"/>
      <c r="BG7" s="660"/>
      <c r="BH7" s="660"/>
      <c r="BI7" s="660"/>
      <c r="BJ7" s="660"/>
      <c r="BK7" s="660"/>
      <c r="BL7" s="660"/>
      <c r="BM7" s="660"/>
      <c r="BN7" s="660"/>
      <c r="BO7" s="660"/>
      <c r="BP7" s="660"/>
      <c r="BQ7" s="660"/>
      <c r="BR7" s="660"/>
      <c r="BS7" s="660"/>
      <c r="BT7" s="660"/>
      <c r="BU7" s="660"/>
      <c r="BV7" s="660"/>
      <c r="BW7" s="660"/>
      <c r="BX7" s="660"/>
      <c r="BY7" s="660"/>
      <c r="BZ7" s="660"/>
      <c r="CA7" s="660"/>
      <c r="CB7" s="660"/>
      <c r="CC7" s="660"/>
      <c r="CD7" s="660"/>
      <c r="CE7" s="660"/>
      <c r="CF7" s="660"/>
      <c r="CG7" s="660"/>
      <c r="CH7" s="660"/>
      <c r="CI7" s="660"/>
      <c r="CJ7" s="660"/>
      <c r="CK7" s="660"/>
      <c r="CL7" s="660"/>
      <c r="CM7" s="660"/>
      <c r="CN7" s="661" t="s">
        <v>132</v>
      </c>
      <c r="CO7" s="662"/>
      <c r="CP7" s="662"/>
      <c r="CQ7" s="662"/>
      <c r="CR7" s="662"/>
      <c r="CS7" s="662"/>
      <c r="CT7" s="662"/>
      <c r="CU7" s="663"/>
      <c r="CV7" s="635" t="s">
        <v>21</v>
      </c>
      <c r="CW7" s="633"/>
      <c r="CX7" s="633"/>
      <c r="CY7" s="633"/>
      <c r="CZ7" s="633"/>
      <c r="DA7" s="633"/>
      <c r="DB7" s="633"/>
      <c r="DC7" s="633"/>
      <c r="DD7" s="633"/>
      <c r="DE7" s="634"/>
      <c r="DF7" s="296"/>
      <c r="DG7" s="664">
        <f>DG10+DG14</f>
        <v>3346805.9299999997</v>
      </c>
      <c r="DH7" s="665"/>
      <c r="DI7" s="665"/>
      <c r="DJ7" s="665"/>
      <c r="DK7" s="665"/>
      <c r="DL7" s="665"/>
      <c r="DM7" s="665"/>
      <c r="DN7" s="665"/>
      <c r="DO7" s="665"/>
      <c r="DP7" s="665"/>
      <c r="DQ7" s="665"/>
      <c r="DR7" s="665"/>
      <c r="DS7" s="666"/>
      <c r="DT7" s="664">
        <f>DT14</f>
        <v>4534443.7300000004</v>
      </c>
      <c r="DU7" s="665"/>
      <c r="DV7" s="665"/>
      <c r="DW7" s="665"/>
      <c r="DX7" s="665"/>
      <c r="DY7" s="665"/>
      <c r="DZ7" s="665"/>
      <c r="EA7" s="665"/>
      <c r="EB7" s="665"/>
      <c r="EC7" s="665"/>
      <c r="ED7" s="665"/>
      <c r="EE7" s="665"/>
      <c r="EF7" s="666"/>
      <c r="EG7" s="664">
        <f>EG14</f>
        <v>3916755.7</v>
      </c>
      <c r="EH7" s="665"/>
      <c r="EI7" s="665"/>
      <c r="EJ7" s="665"/>
      <c r="EK7" s="665"/>
      <c r="EL7" s="665"/>
      <c r="EM7" s="665"/>
      <c r="EN7" s="665"/>
      <c r="EO7" s="665"/>
      <c r="EP7" s="665"/>
      <c r="EQ7" s="665"/>
      <c r="ER7" s="665"/>
      <c r="ES7" s="666"/>
      <c r="ET7" s="664">
        <f>ET8+ET9+ET10+ET14+ET36</f>
        <v>0</v>
      </c>
      <c r="EU7" s="665"/>
      <c r="EV7" s="665"/>
      <c r="EW7" s="665"/>
      <c r="EX7" s="665"/>
      <c r="EY7" s="665"/>
      <c r="EZ7" s="665"/>
      <c r="FA7" s="665"/>
      <c r="FB7" s="665"/>
      <c r="FC7" s="665"/>
      <c r="FD7" s="665"/>
      <c r="FE7" s="665"/>
      <c r="FF7" s="666"/>
      <c r="FI7" s="269"/>
    </row>
    <row r="8" spans="1:165" ht="91.5" customHeight="1">
      <c r="A8" s="607" t="s">
        <v>133</v>
      </c>
      <c r="B8" s="607"/>
      <c r="C8" s="607"/>
      <c r="D8" s="607"/>
      <c r="E8" s="607"/>
      <c r="F8" s="607"/>
      <c r="G8" s="607"/>
      <c r="H8" s="608"/>
      <c r="I8" s="649" t="s">
        <v>134</v>
      </c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0"/>
      <c r="BG8" s="650"/>
      <c r="BH8" s="650"/>
      <c r="BI8" s="650"/>
      <c r="BJ8" s="650"/>
      <c r="BK8" s="650"/>
      <c r="BL8" s="650"/>
      <c r="BM8" s="650"/>
      <c r="BN8" s="650"/>
      <c r="BO8" s="650"/>
      <c r="BP8" s="650"/>
      <c r="BQ8" s="650"/>
      <c r="BR8" s="650"/>
      <c r="BS8" s="650"/>
      <c r="BT8" s="650"/>
      <c r="BU8" s="650"/>
      <c r="BV8" s="650"/>
      <c r="BW8" s="650"/>
      <c r="BX8" s="650"/>
      <c r="BY8" s="650"/>
      <c r="BZ8" s="650"/>
      <c r="CA8" s="650"/>
      <c r="CB8" s="650"/>
      <c r="CC8" s="650"/>
      <c r="CD8" s="650"/>
      <c r="CE8" s="650"/>
      <c r="CF8" s="650"/>
      <c r="CG8" s="650"/>
      <c r="CH8" s="650"/>
      <c r="CI8" s="650"/>
      <c r="CJ8" s="650"/>
      <c r="CK8" s="650"/>
      <c r="CL8" s="650"/>
      <c r="CM8" s="650"/>
      <c r="CN8" s="611" t="s">
        <v>135</v>
      </c>
      <c r="CO8" s="607"/>
      <c r="CP8" s="607"/>
      <c r="CQ8" s="607"/>
      <c r="CR8" s="607"/>
      <c r="CS8" s="607"/>
      <c r="CT8" s="607"/>
      <c r="CU8" s="608"/>
      <c r="CV8" s="612" t="s">
        <v>21</v>
      </c>
      <c r="CW8" s="607"/>
      <c r="CX8" s="607"/>
      <c r="CY8" s="607"/>
      <c r="CZ8" s="607"/>
      <c r="DA8" s="607"/>
      <c r="DB8" s="607"/>
      <c r="DC8" s="607"/>
      <c r="DD8" s="607"/>
      <c r="DE8" s="608"/>
      <c r="DF8" s="297"/>
      <c r="DG8" s="613"/>
      <c r="DH8" s="614"/>
      <c r="DI8" s="614"/>
      <c r="DJ8" s="614"/>
      <c r="DK8" s="614"/>
      <c r="DL8" s="614"/>
      <c r="DM8" s="614"/>
      <c r="DN8" s="614"/>
      <c r="DO8" s="614"/>
      <c r="DP8" s="614"/>
      <c r="DQ8" s="614"/>
      <c r="DR8" s="614"/>
      <c r="DS8" s="615"/>
      <c r="DT8" s="613"/>
      <c r="DU8" s="614"/>
      <c r="DV8" s="614"/>
      <c r="DW8" s="614"/>
      <c r="DX8" s="614"/>
      <c r="DY8" s="614"/>
      <c r="DZ8" s="614"/>
      <c r="EA8" s="614"/>
      <c r="EB8" s="614"/>
      <c r="EC8" s="614"/>
      <c r="ED8" s="614"/>
      <c r="EE8" s="614"/>
      <c r="EF8" s="615"/>
      <c r="EG8" s="613"/>
      <c r="EH8" s="614"/>
      <c r="EI8" s="614"/>
      <c r="EJ8" s="614"/>
      <c r="EK8" s="614"/>
      <c r="EL8" s="614"/>
      <c r="EM8" s="614"/>
      <c r="EN8" s="614"/>
      <c r="EO8" s="614"/>
      <c r="EP8" s="614"/>
      <c r="EQ8" s="614"/>
      <c r="ER8" s="614"/>
      <c r="ES8" s="615"/>
      <c r="ET8" s="613"/>
      <c r="EU8" s="614"/>
      <c r="EV8" s="614"/>
      <c r="EW8" s="614"/>
      <c r="EX8" s="614"/>
      <c r="EY8" s="614"/>
      <c r="EZ8" s="614"/>
      <c r="FA8" s="614"/>
      <c r="FB8" s="614"/>
      <c r="FC8" s="614"/>
      <c r="FD8" s="614"/>
      <c r="FE8" s="614"/>
      <c r="FF8" s="651"/>
    </row>
    <row r="9" spans="1:165" ht="24" customHeight="1">
      <c r="A9" s="607" t="s">
        <v>136</v>
      </c>
      <c r="B9" s="607"/>
      <c r="C9" s="607"/>
      <c r="D9" s="607"/>
      <c r="E9" s="607"/>
      <c r="F9" s="607"/>
      <c r="G9" s="607"/>
      <c r="H9" s="608"/>
      <c r="I9" s="649" t="s">
        <v>137</v>
      </c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  <c r="X9" s="650"/>
      <c r="Y9" s="650"/>
      <c r="Z9" s="650"/>
      <c r="AA9" s="650"/>
      <c r="AB9" s="650"/>
      <c r="AC9" s="650"/>
      <c r="AD9" s="650"/>
      <c r="AE9" s="650"/>
      <c r="AF9" s="650"/>
      <c r="AG9" s="650"/>
      <c r="AH9" s="650"/>
      <c r="AI9" s="650"/>
      <c r="AJ9" s="650"/>
      <c r="AK9" s="650"/>
      <c r="AL9" s="650"/>
      <c r="AM9" s="650"/>
      <c r="AN9" s="650"/>
      <c r="AO9" s="650"/>
      <c r="AP9" s="650"/>
      <c r="AQ9" s="650"/>
      <c r="AR9" s="650"/>
      <c r="AS9" s="650"/>
      <c r="AT9" s="650"/>
      <c r="AU9" s="650"/>
      <c r="AV9" s="650"/>
      <c r="AW9" s="650"/>
      <c r="AX9" s="650"/>
      <c r="AY9" s="650"/>
      <c r="AZ9" s="650"/>
      <c r="BA9" s="650"/>
      <c r="BB9" s="650"/>
      <c r="BC9" s="650"/>
      <c r="BD9" s="650"/>
      <c r="BE9" s="650"/>
      <c r="BF9" s="650"/>
      <c r="BG9" s="650"/>
      <c r="BH9" s="650"/>
      <c r="BI9" s="650"/>
      <c r="BJ9" s="650"/>
      <c r="BK9" s="650"/>
      <c r="BL9" s="650"/>
      <c r="BM9" s="650"/>
      <c r="BN9" s="650"/>
      <c r="BO9" s="650"/>
      <c r="BP9" s="650"/>
      <c r="BQ9" s="650"/>
      <c r="BR9" s="650"/>
      <c r="BS9" s="650"/>
      <c r="BT9" s="650"/>
      <c r="BU9" s="650"/>
      <c r="BV9" s="650"/>
      <c r="BW9" s="650"/>
      <c r="BX9" s="650"/>
      <c r="BY9" s="650"/>
      <c r="BZ9" s="650"/>
      <c r="CA9" s="650"/>
      <c r="CB9" s="650"/>
      <c r="CC9" s="650"/>
      <c r="CD9" s="650"/>
      <c r="CE9" s="650"/>
      <c r="CF9" s="650"/>
      <c r="CG9" s="650"/>
      <c r="CH9" s="650"/>
      <c r="CI9" s="650"/>
      <c r="CJ9" s="650"/>
      <c r="CK9" s="650"/>
      <c r="CL9" s="650"/>
      <c r="CM9" s="650"/>
      <c r="CN9" s="611" t="s">
        <v>138</v>
      </c>
      <c r="CO9" s="607"/>
      <c r="CP9" s="607"/>
      <c r="CQ9" s="607"/>
      <c r="CR9" s="607"/>
      <c r="CS9" s="607"/>
      <c r="CT9" s="607"/>
      <c r="CU9" s="608"/>
      <c r="CV9" s="612" t="s">
        <v>21</v>
      </c>
      <c r="CW9" s="607"/>
      <c r="CX9" s="607"/>
      <c r="CY9" s="607"/>
      <c r="CZ9" s="607"/>
      <c r="DA9" s="607"/>
      <c r="DB9" s="607"/>
      <c r="DC9" s="607"/>
      <c r="DD9" s="607"/>
      <c r="DE9" s="608"/>
      <c r="DF9" s="297"/>
      <c r="DG9" s="613"/>
      <c r="DH9" s="614"/>
      <c r="DI9" s="614"/>
      <c r="DJ9" s="614"/>
      <c r="DK9" s="614"/>
      <c r="DL9" s="614"/>
      <c r="DM9" s="614"/>
      <c r="DN9" s="614"/>
      <c r="DO9" s="614"/>
      <c r="DP9" s="614"/>
      <c r="DQ9" s="614"/>
      <c r="DR9" s="614"/>
      <c r="DS9" s="615"/>
      <c r="DT9" s="613"/>
      <c r="DU9" s="614"/>
      <c r="DV9" s="614"/>
      <c r="DW9" s="614"/>
      <c r="DX9" s="614"/>
      <c r="DY9" s="614"/>
      <c r="DZ9" s="614"/>
      <c r="EA9" s="614"/>
      <c r="EB9" s="614"/>
      <c r="EC9" s="614"/>
      <c r="ED9" s="614"/>
      <c r="EE9" s="614"/>
      <c r="EF9" s="615"/>
      <c r="EG9" s="613"/>
      <c r="EH9" s="614"/>
      <c r="EI9" s="614"/>
      <c r="EJ9" s="614"/>
      <c r="EK9" s="614"/>
      <c r="EL9" s="614"/>
      <c r="EM9" s="614"/>
      <c r="EN9" s="614"/>
      <c r="EO9" s="614"/>
      <c r="EP9" s="614"/>
      <c r="EQ9" s="614"/>
      <c r="ER9" s="614"/>
      <c r="ES9" s="615"/>
      <c r="ET9" s="613"/>
      <c r="EU9" s="614"/>
      <c r="EV9" s="614"/>
      <c r="EW9" s="614"/>
      <c r="EX9" s="614"/>
      <c r="EY9" s="614"/>
      <c r="EZ9" s="614"/>
      <c r="FA9" s="614"/>
      <c r="FB9" s="614"/>
      <c r="FC9" s="614"/>
      <c r="FD9" s="614"/>
      <c r="FE9" s="614"/>
      <c r="FF9" s="651"/>
    </row>
    <row r="10" spans="1:165" ht="24" customHeight="1">
      <c r="A10" s="607" t="s">
        <v>139</v>
      </c>
      <c r="B10" s="607"/>
      <c r="C10" s="607"/>
      <c r="D10" s="607"/>
      <c r="E10" s="607"/>
      <c r="F10" s="607"/>
      <c r="G10" s="607"/>
      <c r="H10" s="608"/>
      <c r="I10" s="649" t="s">
        <v>140</v>
      </c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  <c r="AG10" s="650"/>
      <c r="AH10" s="650"/>
      <c r="AI10" s="650"/>
      <c r="AJ10" s="650"/>
      <c r="AK10" s="650"/>
      <c r="AL10" s="650"/>
      <c r="AM10" s="650"/>
      <c r="AN10" s="650"/>
      <c r="AO10" s="650"/>
      <c r="AP10" s="650"/>
      <c r="AQ10" s="650"/>
      <c r="AR10" s="650"/>
      <c r="AS10" s="650"/>
      <c r="AT10" s="650"/>
      <c r="AU10" s="650"/>
      <c r="AV10" s="650"/>
      <c r="AW10" s="650"/>
      <c r="AX10" s="650"/>
      <c r="AY10" s="650"/>
      <c r="AZ10" s="650"/>
      <c r="BA10" s="650"/>
      <c r="BB10" s="650"/>
      <c r="BC10" s="650"/>
      <c r="BD10" s="650"/>
      <c r="BE10" s="650"/>
      <c r="BF10" s="650"/>
      <c r="BG10" s="650"/>
      <c r="BH10" s="650"/>
      <c r="BI10" s="650"/>
      <c r="BJ10" s="650"/>
      <c r="BK10" s="650"/>
      <c r="BL10" s="650"/>
      <c r="BM10" s="650"/>
      <c r="BN10" s="650"/>
      <c r="BO10" s="650"/>
      <c r="BP10" s="650"/>
      <c r="BQ10" s="650"/>
      <c r="BR10" s="650"/>
      <c r="BS10" s="650"/>
      <c r="BT10" s="650"/>
      <c r="BU10" s="650"/>
      <c r="BV10" s="650"/>
      <c r="BW10" s="650"/>
      <c r="BX10" s="650"/>
      <c r="BY10" s="650"/>
      <c r="BZ10" s="650"/>
      <c r="CA10" s="650"/>
      <c r="CB10" s="650"/>
      <c r="CC10" s="650"/>
      <c r="CD10" s="650"/>
      <c r="CE10" s="650"/>
      <c r="CF10" s="650"/>
      <c r="CG10" s="650"/>
      <c r="CH10" s="650"/>
      <c r="CI10" s="650"/>
      <c r="CJ10" s="650"/>
      <c r="CK10" s="650"/>
      <c r="CL10" s="650"/>
      <c r="CM10" s="650"/>
      <c r="CN10" s="611" t="s">
        <v>141</v>
      </c>
      <c r="CO10" s="607"/>
      <c r="CP10" s="607"/>
      <c r="CQ10" s="607"/>
      <c r="CR10" s="607"/>
      <c r="CS10" s="607"/>
      <c r="CT10" s="607"/>
      <c r="CU10" s="608"/>
      <c r="CV10" s="612" t="s">
        <v>21</v>
      </c>
      <c r="CW10" s="607"/>
      <c r="CX10" s="607"/>
      <c r="CY10" s="607"/>
      <c r="CZ10" s="607"/>
      <c r="DA10" s="607"/>
      <c r="DB10" s="607"/>
      <c r="DC10" s="607"/>
      <c r="DD10" s="607"/>
      <c r="DE10" s="608"/>
      <c r="DF10" s="297"/>
      <c r="DG10" s="613">
        <v>329308.71000000002</v>
      </c>
      <c r="DH10" s="614"/>
      <c r="DI10" s="614"/>
      <c r="DJ10" s="614"/>
      <c r="DK10" s="614"/>
      <c r="DL10" s="614"/>
      <c r="DM10" s="614"/>
      <c r="DN10" s="614"/>
      <c r="DO10" s="614"/>
      <c r="DP10" s="614"/>
      <c r="DQ10" s="614"/>
      <c r="DR10" s="614"/>
      <c r="DS10" s="615"/>
      <c r="DT10" s="613"/>
      <c r="DU10" s="614"/>
      <c r="DV10" s="614"/>
      <c r="DW10" s="614"/>
      <c r="DX10" s="614"/>
      <c r="DY10" s="614"/>
      <c r="DZ10" s="614"/>
      <c r="EA10" s="614"/>
      <c r="EB10" s="614"/>
      <c r="EC10" s="614"/>
      <c r="ED10" s="614"/>
      <c r="EE10" s="614"/>
      <c r="EF10" s="615"/>
      <c r="EG10" s="613"/>
      <c r="EH10" s="614"/>
      <c r="EI10" s="614"/>
      <c r="EJ10" s="614"/>
      <c r="EK10" s="614"/>
      <c r="EL10" s="614"/>
      <c r="EM10" s="614"/>
      <c r="EN10" s="614"/>
      <c r="EO10" s="614"/>
      <c r="EP10" s="614"/>
      <c r="EQ10" s="614"/>
      <c r="ER10" s="614"/>
      <c r="ES10" s="615"/>
      <c r="ET10" s="613"/>
      <c r="EU10" s="614"/>
      <c r="EV10" s="614"/>
      <c r="EW10" s="614"/>
      <c r="EX10" s="614"/>
      <c r="EY10" s="614"/>
      <c r="EZ10" s="614"/>
      <c r="FA10" s="614"/>
      <c r="FB10" s="614"/>
      <c r="FC10" s="614"/>
      <c r="FD10" s="614"/>
      <c r="FE10" s="614"/>
      <c r="FF10" s="651"/>
    </row>
    <row r="11" spans="1:165" s="301" customFormat="1" ht="24" customHeight="1">
      <c r="A11" s="607" t="s">
        <v>386</v>
      </c>
      <c r="B11" s="607"/>
      <c r="C11" s="607"/>
      <c r="D11" s="607"/>
      <c r="E11" s="607"/>
      <c r="F11" s="607"/>
      <c r="G11" s="607"/>
      <c r="H11" s="608"/>
      <c r="I11" s="649" t="s">
        <v>389</v>
      </c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0"/>
      <c r="AT11" s="650"/>
      <c r="AU11" s="650"/>
      <c r="AV11" s="650"/>
      <c r="AW11" s="650"/>
      <c r="AX11" s="650"/>
      <c r="AY11" s="650"/>
      <c r="AZ11" s="650"/>
      <c r="BA11" s="650"/>
      <c r="BB11" s="650"/>
      <c r="BC11" s="650"/>
      <c r="BD11" s="650"/>
      <c r="BE11" s="650"/>
      <c r="BF11" s="650"/>
      <c r="BG11" s="650"/>
      <c r="BH11" s="650"/>
      <c r="BI11" s="650"/>
      <c r="BJ11" s="650"/>
      <c r="BK11" s="650"/>
      <c r="BL11" s="650"/>
      <c r="BM11" s="650"/>
      <c r="BN11" s="650"/>
      <c r="BO11" s="650"/>
      <c r="BP11" s="650"/>
      <c r="BQ11" s="650"/>
      <c r="BR11" s="650"/>
      <c r="BS11" s="650"/>
      <c r="BT11" s="650"/>
      <c r="BU11" s="650"/>
      <c r="BV11" s="650"/>
      <c r="BW11" s="650"/>
      <c r="BX11" s="650"/>
      <c r="BY11" s="650"/>
      <c r="BZ11" s="650"/>
      <c r="CA11" s="650"/>
      <c r="CB11" s="650"/>
      <c r="CC11" s="650"/>
      <c r="CD11" s="650"/>
      <c r="CE11" s="650"/>
      <c r="CF11" s="650"/>
      <c r="CG11" s="650"/>
      <c r="CH11" s="650"/>
      <c r="CI11" s="650"/>
      <c r="CJ11" s="650"/>
      <c r="CK11" s="650"/>
      <c r="CL11" s="650"/>
      <c r="CM11" s="650"/>
      <c r="CN11" s="611" t="s">
        <v>387</v>
      </c>
      <c r="CO11" s="607"/>
      <c r="CP11" s="607"/>
      <c r="CQ11" s="607"/>
      <c r="CR11" s="607"/>
      <c r="CS11" s="607"/>
      <c r="CT11" s="607"/>
      <c r="CU11" s="608"/>
      <c r="CV11" s="612" t="s">
        <v>21</v>
      </c>
      <c r="CW11" s="607"/>
      <c r="CX11" s="607"/>
      <c r="CY11" s="607"/>
      <c r="CZ11" s="607"/>
      <c r="DA11" s="607"/>
      <c r="DB11" s="607"/>
      <c r="DC11" s="607"/>
      <c r="DD11" s="607"/>
      <c r="DE11" s="608"/>
      <c r="DF11" s="297"/>
      <c r="DG11" s="613">
        <f>DG10</f>
        <v>329308.71000000002</v>
      </c>
      <c r="DH11" s="614"/>
      <c r="DI11" s="614"/>
      <c r="DJ11" s="614"/>
      <c r="DK11" s="614"/>
      <c r="DL11" s="614"/>
      <c r="DM11" s="614"/>
      <c r="DN11" s="614"/>
      <c r="DO11" s="614"/>
      <c r="DP11" s="614"/>
      <c r="DQ11" s="614"/>
      <c r="DR11" s="614"/>
      <c r="DS11" s="615"/>
      <c r="DT11" s="613"/>
      <c r="DU11" s="614"/>
      <c r="DV11" s="614"/>
      <c r="DW11" s="614"/>
      <c r="DX11" s="614"/>
      <c r="DY11" s="614"/>
      <c r="DZ11" s="614"/>
      <c r="EA11" s="614"/>
      <c r="EB11" s="614"/>
      <c r="EC11" s="614"/>
      <c r="ED11" s="614"/>
      <c r="EE11" s="614"/>
      <c r="EF11" s="615"/>
      <c r="EG11" s="613"/>
      <c r="EH11" s="614"/>
      <c r="EI11" s="614"/>
      <c r="EJ11" s="614"/>
      <c r="EK11" s="614"/>
      <c r="EL11" s="614"/>
      <c r="EM11" s="614"/>
      <c r="EN11" s="614"/>
      <c r="EO11" s="614"/>
      <c r="EP11" s="614"/>
      <c r="EQ11" s="614"/>
      <c r="ER11" s="614"/>
      <c r="ES11" s="615"/>
      <c r="ET11" s="613"/>
      <c r="EU11" s="614"/>
      <c r="EV11" s="614"/>
      <c r="EW11" s="614"/>
      <c r="EX11" s="614"/>
      <c r="EY11" s="614"/>
      <c r="EZ11" s="614"/>
      <c r="FA11" s="614"/>
      <c r="FB11" s="614"/>
      <c r="FC11" s="614"/>
      <c r="FD11" s="614"/>
      <c r="FE11" s="614"/>
      <c r="FF11" s="651"/>
    </row>
    <row r="12" spans="1:165" s="301" customFormat="1" ht="24" customHeight="1">
      <c r="A12" s="607"/>
      <c r="B12" s="607"/>
      <c r="C12" s="607"/>
      <c r="D12" s="607"/>
      <c r="E12" s="607"/>
      <c r="F12" s="607"/>
      <c r="G12" s="607"/>
      <c r="H12" s="608"/>
      <c r="I12" s="649" t="s">
        <v>100</v>
      </c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6"/>
      <c r="AS12" s="696"/>
      <c r="AT12" s="696"/>
      <c r="AU12" s="696"/>
      <c r="AV12" s="696"/>
      <c r="AW12" s="696"/>
      <c r="AX12" s="696"/>
      <c r="AY12" s="696"/>
      <c r="AZ12" s="696"/>
      <c r="BA12" s="696"/>
      <c r="BB12" s="696"/>
      <c r="BC12" s="696"/>
      <c r="BD12" s="696"/>
      <c r="BE12" s="696"/>
      <c r="BF12" s="696"/>
      <c r="BG12" s="696"/>
      <c r="BH12" s="696"/>
      <c r="BI12" s="696"/>
      <c r="BJ12" s="696"/>
      <c r="BK12" s="696"/>
      <c r="BL12" s="696"/>
      <c r="BM12" s="696"/>
      <c r="BN12" s="696"/>
      <c r="BO12" s="696"/>
      <c r="BP12" s="696"/>
      <c r="BQ12" s="696"/>
      <c r="BR12" s="696"/>
      <c r="BS12" s="696"/>
      <c r="BT12" s="696"/>
      <c r="BU12" s="696"/>
      <c r="BV12" s="696"/>
      <c r="BW12" s="696"/>
      <c r="BX12" s="696"/>
      <c r="BY12" s="696"/>
      <c r="BZ12" s="696"/>
      <c r="CA12" s="696"/>
      <c r="CB12" s="696"/>
      <c r="CC12" s="696"/>
      <c r="CD12" s="696"/>
      <c r="CE12" s="696"/>
      <c r="CF12" s="696"/>
      <c r="CG12" s="696"/>
      <c r="CH12" s="696"/>
      <c r="CI12" s="696"/>
      <c r="CJ12" s="696"/>
      <c r="CK12" s="696"/>
      <c r="CL12" s="696"/>
      <c r="CM12" s="697"/>
      <c r="CN12" s="611" t="s">
        <v>391</v>
      </c>
      <c r="CO12" s="607"/>
      <c r="CP12" s="607"/>
      <c r="CQ12" s="607"/>
      <c r="CR12" s="607"/>
      <c r="CS12" s="607"/>
      <c r="CT12" s="607"/>
      <c r="CU12" s="608"/>
      <c r="CV12" s="612" t="s">
        <v>21</v>
      </c>
      <c r="CW12" s="607"/>
      <c r="CX12" s="607"/>
      <c r="CY12" s="607"/>
      <c r="CZ12" s="607"/>
      <c r="DA12" s="607"/>
      <c r="DB12" s="607"/>
      <c r="DC12" s="607"/>
      <c r="DD12" s="607"/>
      <c r="DE12" s="608"/>
      <c r="DF12" s="297"/>
      <c r="DG12" s="613"/>
      <c r="DH12" s="614"/>
      <c r="DI12" s="614"/>
      <c r="DJ12" s="614"/>
      <c r="DK12" s="614"/>
      <c r="DL12" s="614"/>
      <c r="DM12" s="614"/>
      <c r="DN12" s="614"/>
      <c r="DO12" s="614"/>
      <c r="DP12" s="614"/>
      <c r="DQ12" s="614"/>
      <c r="DR12" s="614"/>
      <c r="DS12" s="615"/>
      <c r="DT12" s="613"/>
      <c r="DU12" s="614"/>
      <c r="DV12" s="614"/>
      <c r="DW12" s="614"/>
      <c r="DX12" s="614"/>
      <c r="DY12" s="614"/>
      <c r="DZ12" s="614"/>
      <c r="EA12" s="614"/>
      <c r="EB12" s="614"/>
      <c r="EC12" s="614"/>
      <c r="ED12" s="614"/>
      <c r="EE12" s="614"/>
      <c r="EF12" s="615"/>
      <c r="EG12" s="613"/>
      <c r="EH12" s="614"/>
      <c r="EI12" s="614"/>
      <c r="EJ12" s="614"/>
      <c r="EK12" s="614"/>
      <c r="EL12" s="614"/>
      <c r="EM12" s="614"/>
      <c r="EN12" s="614"/>
      <c r="EO12" s="614"/>
      <c r="EP12" s="614"/>
      <c r="EQ12" s="614"/>
      <c r="ER12" s="614"/>
      <c r="ES12" s="615"/>
      <c r="ET12" s="613"/>
      <c r="EU12" s="614"/>
      <c r="EV12" s="614"/>
      <c r="EW12" s="614"/>
      <c r="EX12" s="614"/>
      <c r="EY12" s="614"/>
      <c r="EZ12" s="614"/>
      <c r="FA12" s="614"/>
      <c r="FB12" s="614"/>
      <c r="FC12" s="614"/>
      <c r="FD12" s="614"/>
      <c r="FE12" s="614"/>
      <c r="FF12" s="651"/>
    </row>
    <row r="13" spans="1:165" s="301" customFormat="1" ht="24" customHeight="1">
      <c r="A13" s="607" t="s">
        <v>388</v>
      </c>
      <c r="B13" s="607"/>
      <c r="C13" s="607"/>
      <c r="D13" s="607"/>
      <c r="E13" s="607"/>
      <c r="F13" s="607"/>
      <c r="G13" s="607"/>
      <c r="H13" s="608"/>
      <c r="I13" s="649" t="s">
        <v>390</v>
      </c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650"/>
      <c r="BD13" s="650"/>
      <c r="BE13" s="650"/>
      <c r="BF13" s="650"/>
      <c r="BG13" s="650"/>
      <c r="BH13" s="650"/>
      <c r="BI13" s="650"/>
      <c r="BJ13" s="650"/>
      <c r="BK13" s="650"/>
      <c r="BL13" s="650"/>
      <c r="BM13" s="650"/>
      <c r="BN13" s="650"/>
      <c r="BO13" s="650"/>
      <c r="BP13" s="650"/>
      <c r="BQ13" s="650"/>
      <c r="BR13" s="650"/>
      <c r="BS13" s="650"/>
      <c r="BT13" s="650"/>
      <c r="BU13" s="650"/>
      <c r="BV13" s="650"/>
      <c r="BW13" s="650"/>
      <c r="BX13" s="650"/>
      <c r="BY13" s="650"/>
      <c r="BZ13" s="650"/>
      <c r="CA13" s="650"/>
      <c r="CB13" s="650"/>
      <c r="CC13" s="650"/>
      <c r="CD13" s="650"/>
      <c r="CE13" s="650"/>
      <c r="CF13" s="650"/>
      <c r="CG13" s="650"/>
      <c r="CH13" s="650"/>
      <c r="CI13" s="650"/>
      <c r="CJ13" s="650"/>
      <c r="CK13" s="650"/>
      <c r="CL13" s="650"/>
      <c r="CM13" s="650"/>
      <c r="CN13" s="611" t="s">
        <v>387</v>
      </c>
      <c r="CO13" s="607"/>
      <c r="CP13" s="607"/>
      <c r="CQ13" s="607"/>
      <c r="CR13" s="607"/>
      <c r="CS13" s="607"/>
      <c r="CT13" s="607"/>
      <c r="CU13" s="608"/>
      <c r="CV13" s="612" t="s">
        <v>21</v>
      </c>
      <c r="CW13" s="607"/>
      <c r="CX13" s="607"/>
      <c r="CY13" s="607"/>
      <c r="CZ13" s="607"/>
      <c r="DA13" s="607"/>
      <c r="DB13" s="607"/>
      <c r="DC13" s="607"/>
      <c r="DD13" s="607"/>
      <c r="DE13" s="608"/>
      <c r="DF13" s="297"/>
      <c r="DG13" s="613"/>
      <c r="DH13" s="614"/>
      <c r="DI13" s="614"/>
      <c r="DJ13" s="614"/>
      <c r="DK13" s="614"/>
      <c r="DL13" s="614"/>
      <c r="DM13" s="614"/>
      <c r="DN13" s="614"/>
      <c r="DO13" s="614"/>
      <c r="DP13" s="614"/>
      <c r="DQ13" s="614"/>
      <c r="DR13" s="614"/>
      <c r="DS13" s="615"/>
      <c r="DT13" s="613"/>
      <c r="DU13" s="614"/>
      <c r="DV13" s="614"/>
      <c r="DW13" s="614"/>
      <c r="DX13" s="614"/>
      <c r="DY13" s="614"/>
      <c r="DZ13" s="614"/>
      <c r="EA13" s="614"/>
      <c r="EB13" s="614"/>
      <c r="EC13" s="614"/>
      <c r="ED13" s="614"/>
      <c r="EE13" s="614"/>
      <c r="EF13" s="615"/>
      <c r="EG13" s="613"/>
      <c r="EH13" s="614"/>
      <c r="EI13" s="614"/>
      <c r="EJ13" s="614"/>
      <c r="EK13" s="614"/>
      <c r="EL13" s="614"/>
      <c r="EM13" s="614"/>
      <c r="EN13" s="614"/>
      <c r="EO13" s="614"/>
      <c r="EP13" s="614"/>
      <c r="EQ13" s="614"/>
      <c r="ER13" s="614"/>
      <c r="ES13" s="615"/>
      <c r="ET13" s="613"/>
      <c r="EU13" s="614"/>
      <c r="EV13" s="614"/>
      <c r="EW13" s="614"/>
      <c r="EX13" s="614"/>
      <c r="EY13" s="614"/>
      <c r="EZ13" s="614"/>
      <c r="FA13" s="614"/>
      <c r="FB13" s="614"/>
      <c r="FC13" s="614"/>
      <c r="FD13" s="614"/>
      <c r="FE13" s="614"/>
      <c r="FF13" s="651"/>
    </row>
    <row r="14" spans="1:165" ht="24" customHeight="1">
      <c r="A14" s="607" t="s">
        <v>142</v>
      </c>
      <c r="B14" s="607"/>
      <c r="C14" s="607"/>
      <c r="D14" s="607"/>
      <c r="E14" s="607"/>
      <c r="F14" s="607"/>
      <c r="G14" s="607"/>
      <c r="H14" s="608"/>
      <c r="I14" s="649" t="s">
        <v>143</v>
      </c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  <c r="AL14" s="650"/>
      <c r="AM14" s="650"/>
      <c r="AN14" s="650"/>
      <c r="AO14" s="650"/>
      <c r="AP14" s="650"/>
      <c r="AQ14" s="650"/>
      <c r="AR14" s="650"/>
      <c r="AS14" s="650"/>
      <c r="AT14" s="650"/>
      <c r="AU14" s="650"/>
      <c r="AV14" s="650"/>
      <c r="AW14" s="650"/>
      <c r="AX14" s="650"/>
      <c r="AY14" s="650"/>
      <c r="AZ14" s="650"/>
      <c r="BA14" s="650"/>
      <c r="BB14" s="650"/>
      <c r="BC14" s="650"/>
      <c r="BD14" s="650"/>
      <c r="BE14" s="650"/>
      <c r="BF14" s="650"/>
      <c r="BG14" s="650"/>
      <c r="BH14" s="650"/>
      <c r="BI14" s="650"/>
      <c r="BJ14" s="650"/>
      <c r="BK14" s="650"/>
      <c r="BL14" s="650"/>
      <c r="BM14" s="650"/>
      <c r="BN14" s="650"/>
      <c r="BO14" s="650"/>
      <c r="BP14" s="650"/>
      <c r="BQ14" s="650"/>
      <c r="BR14" s="650"/>
      <c r="BS14" s="650"/>
      <c r="BT14" s="650"/>
      <c r="BU14" s="650"/>
      <c r="BV14" s="650"/>
      <c r="BW14" s="650"/>
      <c r="BX14" s="650"/>
      <c r="BY14" s="650"/>
      <c r="BZ14" s="650"/>
      <c r="CA14" s="650"/>
      <c r="CB14" s="650"/>
      <c r="CC14" s="650"/>
      <c r="CD14" s="650"/>
      <c r="CE14" s="650"/>
      <c r="CF14" s="650"/>
      <c r="CG14" s="650"/>
      <c r="CH14" s="650"/>
      <c r="CI14" s="650"/>
      <c r="CJ14" s="650"/>
      <c r="CK14" s="650"/>
      <c r="CL14" s="650"/>
      <c r="CM14" s="650"/>
      <c r="CN14" s="611" t="s">
        <v>144</v>
      </c>
      <c r="CO14" s="607"/>
      <c r="CP14" s="607"/>
      <c r="CQ14" s="607"/>
      <c r="CR14" s="607"/>
      <c r="CS14" s="607"/>
      <c r="CT14" s="607"/>
      <c r="CU14" s="608"/>
      <c r="CV14" s="612" t="s">
        <v>21</v>
      </c>
      <c r="CW14" s="607"/>
      <c r="CX14" s="607"/>
      <c r="CY14" s="607"/>
      <c r="CZ14" s="607"/>
      <c r="DA14" s="607"/>
      <c r="DB14" s="607"/>
      <c r="DC14" s="607"/>
      <c r="DD14" s="607"/>
      <c r="DE14" s="608"/>
      <c r="DF14" s="297"/>
      <c r="DG14" s="613">
        <f>DG15+DG21+DG33</f>
        <v>3017497.2199999997</v>
      </c>
      <c r="DH14" s="614"/>
      <c r="DI14" s="614"/>
      <c r="DJ14" s="614"/>
      <c r="DK14" s="614"/>
      <c r="DL14" s="614"/>
      <c r="DM14" s="614"/>
      <c r="DN14" s="614"/>
      <c r="DO14" s="614"/>
      <c r="DP14" s="614"/>
      <c r="DQ14" s="614"/>
      <c r="DR14" s="614"/>
      <c r="DS14" s="615"/>
      <c r="DT14" s="613">
        <f>DT15+DT21+DT33</f>
        <v>4534443.7300000004</v>
      </c>
      <c r="DU14" s="614"/>
      <c r="DV14" s="614"/>
      <c r="DW14" s="614"/>
      <c r="DX14" s="614"/>
      <c r="DY14" s="614"/>
      <c r="DZ14" s="614"/>
      <c r="EA14" s="614"/>
      <c r="EB14" s="614"/>
      <c r="EC14" s="614"/>
      <c r="ED14" s="614"/>
      <c r="EE14" s="614"/>
      <c r="EF14" s="615"/>
      <c r="EG14" s="613">
        <f>EG15+EG21+EG33</f>
        <v>3916755.7</v>
      </c>
      <c r="EH14" s="614"/>
      <c r="EI14" s="614"/>
      <c r="EJ14" s="614"/>
      <c r="EK14" s="614"/>
      <c r="EL14" s="614"/>
      <c r="EM14" s="614"/>
      <c r="EN14" s="614"/>
      <c r="EO14" s="614"/>
      <c r="EP14" s="614"/>
      <c r="EQ14" s="614"/>
      <c r="ER14" s="614"/>
      <c r="ES14" s="615"/>
      <c r="ET14" s="613">
        <f>ET15+ET21+ET33</f>
        <v>0</v>
      </c>
      <c r="EU14" s="614"/>
      <c r="EV14" s="614"/>
      <c r="EW14" s="614"/>
      <c r="EX14" s="614"/>
      <c r="EY14" s="614"/>
      <c r="EZ14" s="614"/>
      <c r="FA14" s="614"/>
      <c r="FB14" s="614"/>
      <c r="FC14" s="614"/>
      <c r="FD14" s="614"/>
      <c r="FE14" s="614"/>
      <c r="FF14" s="615"/>
    </row>
    <row r="15" spans="1:165" ht="34.5" customHeight="1">
      <c r="A15" s="607" t="s">
        <v>145</v>
      </c>
      <c r="B15" s="607"/>
      <c r="C15" s="607"/>
      <c r="D15" s="607"/>
      <c r="E15" s="607"/>
      <c r="F15" s="607"/>
      <c r="G15" s="607"/>
      <c r="H15" s="608"/>
      <c r="I15" s="640" t="s">
        <v>146</v>
      </c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  <c r="BF15" s="641"/>
      <c r="BG15" s="641"/>
      <c r="BH15" s="641"/>
      <c r="BI15" s="641"/>
      <c r="BJ15" s="641"/>
      <c r="BK15" s="641"/>
      <c r="BL15" s="641"/>
      <c r="BM15" s="641"/>
      <c r="BN15" s="641"/>
      <c r="BO15" s="641"/>
      <c r="BP15" s="641"/>
      <c r="BQ15" s="641"/>
      <c r="BR15" s="641"/>
      <c r="BS15" s="641"/>
      <c r="BT15" s="641"/>
      <c r="BU15" s="641"/>
      <c r="BV15" s="641"/>
      <c r="BW15" s="641"/>
      <c r="BX15" s="641"/>
      <c r="BY15" s="641"/>
      <c r="BZ15" s="641"/>
      <c r="CA15" s="641"/>
      <c r="CB15" s="641"/>
      <c r="CC15" s="641"/>
      <c r="CD15" s="641"/>
      <c r="CE15" s="641"/>
      <c r="CF15" s="641"/>
      <c r="CG15" s="641"/>
      <c r="CH15" s="641"/>
      <c r="CI15" s="641"/>
      <c r="CJ15" s="641"/>
      <c r="CK15" s="641"/>
      <c r="CL15" s="641"/>
      <c r="CM15" s="641"/>
      <c r="CN15" s="611" t="s">
        <v>147</v>
      </c>
      <c r="CO15" s="607"/>
      <c r="CP15" s="607"/>
      <c r="CQ15" s="607"/>
      <c r="CR15" s="607"/>
      <c r="CS15" s="607"/>
      <c r="CT15" s="607"/>
      <c r="CU15" s="608"/>
      <c r="CV15" s="612" t="s">
        <v>21</v>
      </c>
      <c r="CW15" s="607"/>
      <c r="CX15" s="607"/>
      <c r="CY15" s="607"/>
      <c r="CZ15" s="607"/>
      <c r="DA15" s="607"/>
      <c r="DB15" s="607"/>
      <c r="DC15" s="607"/>
      <c r="DD15" s="607"/>
      <c r="DE15" s="608"/>
      <c r="DF15" s="297"/>
      <c r="DG15" s="589">
        <f>DG16+DG20</f>
        <v>1043694</v>
      </c>
      <c r="DH15" s="590"/>
      <c r="DI15" s="590"/>
      <c r="DJ15" s="590"/>
      <c r="DK15" s="590"/>
      <c r="DL15" s="590"/>
      <c r="DM15" s="590"/>
      <c r="DN15" s="590"/>
      <c r="DO15" s="590"/>
      <c r="DP15" s="590"/>
      <c r="DQ15" s="590"/>
      <c r="DR15" s="590"/>
      <c r="DS15" s="591"/>
      <c r="DT15" s="589">
        <f>DT16+DT20</f>
        <v>1422459</v>
      </c>
      <c r="DU15" s="590"/>
      <c r="DV15" s="590"/>
      <c r="DW15" s="590"/>
      <c r="DX15" s="590"/>
      <c r="DY15" s="590"/>
      <c r="DZ15" s="590"/>
      <c r="EA15" s="590"/>
      <c r="EB15" s="590"/>
      <c r="EC15" s="590"/>
      <c r="ED15" s="590"/>
      <c r="EE15" s="590"/>
      <c r="EF15" s="591"/>
      <c r="EG15" s="589">
        <f>EG16+EG20</f>
        <v>1440179</v>
      </c>
      <c r="EH15" s="590"/>
      <c r="EI15" s="590"/>
      <c r="EJ15" s="590"/>
      <c r="EK15" s="590"/>
      <c r="EL15" s="590"/>
      <c r="EM15" s="590"/>
      <c r="EN15" s="590"/>
      <c r="EO15" s="590"/>
      <c r="EP15" s="590"/>
      <c r="EQ15" s="590"/>
      <c r="ER15" s="590"/>
      <c r="ES15" s="591"/>
      <c r="ET15" s="589">
        <f>ET16+ET20</f>
        <v>0</v>
      </c>
      <c r="EU15" s="590"/>
      <c r="EV15" s="590"/>
      <c r="EW15" s="590"/>
      <c r="EX15" s="590"/>
      <c r="EY15" s="590"/>
      <c r="EZ15" s="590"/>
      <c r="FA15" s="590"/>
      <c r="FB15" s="590"/>
      <c r="FC15" s="590"/>
      <c r="FD15" s="590"/>
      <c r="FE15" s="590"/>
      <c r="FF15" s="591"/>
      <c r="FI15" s="269"/>
    </row>
    <row r="16" spans="1:165" ht="24" customHeight="1">
      <c r="A16" s="607" t="s">
        <v>148</v>
      </c>
      <c r="B16" s="607"/>
      <c r="C16" s="607"/>
      <c r="D16" s="607"/>
      <c r="E16" s="607"/>
      <c r="F16" s="607"/>
      <c r="G16" s="607"/>
      <c r="H16" s="608"/>
      <c r="I16" s="630" t="s">
        <v>149</v>
      </c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631"/>
      <c r="BB16" s="631"/>
      <c r="BC16" s="631"/>
      <c r="BD16" s="631"/>
      <c r="BE16" s="631"/>
      <c r="BF16" s="631"/>
      <c r="BG16" s="631"/>
      <c r="BH16" s="631"/>
      <c r="BI16" s="631"/>
      <c r="BJ16" s="631"/>
      <c r="BK16" s="631"/>
      <c r="BL16" s="631"/>
      <c r="BM16" s="631"/>
      <c r="BN16" s="631"/>
      <c r="BO16" s="631"/>
      <c r="BP16" s="631"/>
      <c r="BQ16" s="631"/>
      <c r="BR16" s="631"/>
      <c r="BS16" s="631"/>
      <c r="BT16" s="631"/>
      <c r="BU16" s="631"/>
      <c r="BV16" s="631"/>
      <c r="BW16" s="631"/>
      <c r="BX16" s="631"/>
      <c r="BY16" s="631"/>
      <c r="BZ16" s="631"/>
      <c r="CA16" s="631"/>
      <c r="CB16" s="631"/>
      <c r="CC16" s="631"/>
      <c r="CD16" s="631"/>
      <c r="CE16" s="631"/>
      <c r="CF16" s="631"/>
      <c r="CG16" s="631"/>
      <c r="CH16" s="631"/>
      <c r="CI16" s="631"/>
      <c r="CJ16" s="631"/>
      <c r="CK16" s="631"/>
      <c r="CL16" s="631"/>
      <c r="CM16" s="631"/>
      <c r="CN16" s="611" t="s">
        <v>150</v>
      </c>
      <c r="CO16" s="607"/>
      <c r="CP16" s="607"/>
      <c r="CQ16" s="607"/>
      <c r="CR16" s="607"/>
      <c r="CS16" s="607"/>
      <c r="CT16" s="607"/>
      <c r="CU16" s="608"/>
      <c r="CV16" s="612" t="s">
        <v>21</v>
      </c>
      <c r="CW16" s="607"/>
      <c r="CX16" s="607"/>
      <c r="CY16" s="607"/>
      <c r="CZ16" s="607"/>
      <c r="DA16" s="607"/>
      <c r="DB16" s="607"/>
      <c r="DC16" s="607"/>
      <c r="DD16" s="607"/>
      <c r="DE16" s="608"/>
      <c r="DF16" s="297"/>
      <c r="DG16" s="589">
        <f>вспомогательная!K154+вспомогательная!K155+вспомогательная!K176+вспомогательная!K194+вспомогательная!K212+вспомогательная!K213+вспомогательная!K234+вспомогательная!K256+вспомогательная!K274+вспомогательная!K275+вспомогательная!K292+вспомогательная!K138-320565</f>
        <v>1043694</v>
      </c>
      <c r="DH16" s="590"/>
      <c r="DI16" s="590"/>
      <c r="DJ16" s="590"/>
      <c r="DK16" s="590"/>
      <c r="DL16" s="590"/>
      <c r="DM16" s="590"/>
      <c r="DN16" s="590"/>
      <c r="DO16" s="590"/>
      <c r="DP16" s="590"/>
      <c r="DQ16" s="590"/>
      <c r="DR16" s="590"/>
      <c r="DS16" s="591"/>
      <c r="DT16" s="589">
        <f>вспомогательная!L154+вспомогательная!L155+вспомогательная!L176+вспомогательная!L194+вспомогательная!L212+вспомогательная!L213+вспомогательная!L234+вспомогательная!L256+вспомогательная!L274+вспомогательная!L275+вспомогательная!L292+вспомогательная!L138</f>
        <v>1422459</v>
      </c>
      <c r="DU16" s="590"/>
      <c r="DV16" s="590"/>
      <c r="DW16" s="590"/>
      <c r="DX16" s="590"/>
      <c r="DY16" s="590"/>
      <c r="DZ16" s="590"/>
      <c r="EA16" s="590"/>
      <c r="EB16" s="590"/>
      <c r="EC16" s="590"/>
      <c r="ED16" s="590"/>
      <c r="EE16" s="590"/>
      <c r="EF16" s="591"/>
      <c r="EG16" s="589">
        <f>вспомогательная!M154+вспомогательная!M155+вспомогательная!M176+вспомогательная!M194+вспомогательная!M212+вспомогательная!M213+вспомогательная!M234+вспомогательная!M256+вспомогательная!M274+вспомогательная!M275+вспомогательная!M292+вспомогательная!M138</f>
        <v>1440179</v>
      </c>
      <c r="EH16" s="590"/>
      <c r="EI16" s="590"/>
      <c r="EJ16" s="590"/>
      <c r="EK16" s="590"/>
      <c r="EL16" s="590"/>
      <c r="EM16" s="590"/>
      <c r="EN16" s="590"/>
      <c r="EO16" s="590"/>
      <c r="EP16" s="590"/>
      <c r="EQ16" s="590"/>
      <c r="ER16" s="590"/>
      <c r="ES16" s="591"/>
      <c r="ET16" s="589"/>
      <c r="EU16" s="590"/>
      <c r="EV16" s="590"/>
      <c r="EW16" s="590"/>
      <c r="EX16" s="590"/>
      <c r="EY16" s="590"/>
      <c r="EZ16" s="590"/>
      <c r="FA16" s="590"/>
      <c r="FB16" s="590"/>
      <c r="FC16" s="590"/>
      <c r="FD16" s="590"/>
      <c r="FE16" s="590"/>
      <c r="FF16" s="591"/>
      <c r="FI16" s="269"/>
    </row>
    <row r="17" spans="1:165" s="309" customFormat="1" ht="24" hidden="1" customHeight="1">
      <c r="A17" s="607"/>
      <c r="B17" s="607"/>
      <c r="C17" s="607"/>
      <c r="D17" s="607"/>
      <c r="E17" s="607"/>
      <c r="F17" s="607"/>
      <c r="G17" s="607"/>
      <c r="H17" s="608"/>
      <c r="I17" s="630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T17" s="631"/>
      <c r="AU17" s="631"/>
      <c r="AV17" s="631"/>
      <c r="AW17" s="631"/>
      <c r="AX17" s="631"/>
      <c r="AY17" s="631"/>
      <c r="AZ17" s="631"/>
      <c r="BA17" s="631"/>
      <c r="BB17" s="631"/>
      <c r="BC17" s="631"/>
      <c r="BD17" s="631"/>
      <c r="BE17" s="631"/>
      <c r="BF17" s="631"/>
      <c r="BG17" s="631"/>
      <c r="BH17" s="631"/>
      <c r="BI17" s="631"/>
      <c r="BJ17" s="631"/>
      <c r="BK17" s="631"/>
      <c r="BL17" s="631"/>
      <c r="BM17" s="631"/>
      <c r="BN17" s="631"/>
      <c r="BO17" s="631"/>
      <c r="BP17" s="631"/>
      <c r="BQ17" s="631"/>
      <c r="BR17" s="631"/>
      <c r="BS17" s="631"/>
      <c r="BT17" s="631"/>
      <c r="BU17" s="631"/>
      <c r="BV17" s="631"/>
      <c r="BW17" s="631"/>
      <c r="BX17" s="631"/>
      <c r="BY17" s="631"/>
      <c r="BZ17" s="631"/>
      <c r="CA17" s="631"/>
      <c r="CB17" s="631"/>
      <c r="CC17" s="631"/>
      <c r="CD17" s="631"/>
      <c r="CE17" s="631"/>
      <c r="CF17" s="631"/>
      <c r="CG17" s="631"/>
      <c r="CH17" s="631"/>
      <c r="CI17" s="631"/>
      <c r="CJ17" s="631"/>
      <c r="CK17" s="631"/>
      <c r="CL17" s="631"/>
      <c r="CM17" s="631"/>
      <c r="CN17" s="611" t="s">
        <v>402</v>
      </c>
      <c r="CO17" s="607"/>
      <c r="CP17" s="607"/>
      <c r="CQ17" s="607"/>
      <c r="CR17" s="607"/>
      <c r="CS17" s="607"/>
      <c r="CT17" s="607"/>
      <c r="CU17" s="608"/>
      <c r="CV17" s="612" t="s">
        <v>21</v>
      </c>
      <c r="CW17" s="607"/>
      <c r="CX17" s="607"/>
      <c r="CY17" s="607"/>
      <c r="CZ17" s="607"/>
      <c r="DA17" s="607"/>
      <c r="DB17" s="607"/>
      <c r="DC17" s="607"/>
      <c r="DD17" s="607"/>
      <c r="DE17" s="608"/>
      <c r="DF17" s="308"/>
      <c r="DG17" s="589"/>
      <c r="DH17" s="590"/>
      <c r="DI17" s="590"/>
      <c r="DJ17" s="590"/>
      <c r="DK17" s="590"/>
      <c r="DL17" s="590"/>
      <c r="DM17" s="590"/>
      <c r="DN17" s="590"/>
      <c r="DO17" s="590"/>
      <c r="DP17" s="590"/>
      <c r="DQ17" s="590"/>
      <c r="DR17" s="590"/>
      <c r="DS17" s="591"/>
      <c r="DT17" s="589"/>
      <c r="DU17" s="590"/>
      <c r="DV17" s="590"/>
      <c r="DW17" s="590"/>
      <c r="DX17" s="590"/>
      <c r="DY17" s="590"/>
      <c r="DZ17" s="590"/>
      <c r="EA17" s="590"/>
      <c r="EB17" s="590"/>
      <c r="EC17" s="590"/>
      <c r="ED17" s="590"/>
      <c r="EE17" s="590"/>
      <c r="EF17" s="591"/>
      <c r="EG17" s="589"/>
      <c r="EH17" s="590"/>
      <c r="EI17" s="590"/>
      <c r="EJ17" s="590"/>
      <c r="EK17" s="590"/>
      <c r="EL17" s="590"/>
      <c r="EM17" s="590"/>
      <c r="EN17" s="590"/>
      <c r="EO17" s="590"/>
      <c r="EP17" s="590"/>
      <c r="EQ17" s="590"/>
      <c r="ER17" s="590"/>
      <c r="ES17" s="591"/>
      <c r="ET17" s="589"/>
      <c r="EU17" s="590"/>
      <c r="EV17" s="590"/>
      <c r="EW17" s="590"/>
      <c r="EX17" s="590"/>
      <c r="EY17" s="590"/>
      <c r="EZ17" s="590"/>
      <c r="FA17" s="590"/>
      <c r="FB17" s="590"/>
      <c r="FC17" s="590"/>
      <c r="FD17" s="590"/>
      <c r="FE17" s="590"/>
      <c r="FF17" s="591"/>
      <c r="FI17" s="269"/>
    </row>
    <row r="18" spans="1:165" s="309" customFormat="1" ht="24" hidden="1" customHeight="1">
      <c r="A18" s="607"/>
      <c r="B18" s="607"/>
      <c r="C18" s="607"/>
      <c r="D18" s="607"/>
      <c r="E18" s="607"/>
      <c r="F18" s="607"/>
      <c r="G18" s="607"/>
      <c r="H18" s="608"/>
      <c r="I18" s="630"/>
      <c r="J18" s="631"/>
      <c r="K18" s="631"/>
      <c r="L18" s="631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31"/>
      <c r="BB18" s="631"/>
      <c r="BC18" s="631"/>
      <c r="BD18" s="631"/>
      <c r="BE18" s="631"/>
      <c r="BF18" s="631"/>
      <c r="BG18" s="631"/>
      <c r="BH18" s="631"/>
      <c r="BI18" s="631"/>
      <c r="BJ18" s="631"/>
      <c r="BK18" s="631"/>
      <c r="BL18" s="631"/>
      <c r="BM18" s="631"/>
      <c r="BN18" s="631"/>
      <c r="BO18" s="631"/>
      <c r="BP18" s="631"/>
      <c r="BQ18" s="631"/>
      <c r="BR18" s="631"/>
      <c r="BS18" s="631"/>
      <c r="BT18" s="631"/>
      <c r="BU18" s="631"/>
      <c r="BV18" s="631"/>
      <c r="BW18" s="631"/>
      <c r="BX18" s="631"/>
      <c r="BY18" s="631"/>
      <c r="BZ18" s="631"/>
      <c r="CA18" s="631"/>
      <c r="CB18" s="631"/>
      <c r="CC18" s="631"/>
      <c r="CD18" s="631"/>
      <c r="CE18" s="631"/>
      <c r="CF18" s="631"/>
      <c r="CG18" s="631"/>
      <c r="CH18" s="631"/>
      <c r="CI18" s="631"/>
      <c r="CJ18" s="631"/>
      <c r="CK18" s="631"/>
      <c r="CL18" s="631"/>
      <c r="CM18" s="631"/>
      <c r="CN18" s="611" t="s">
        <v>403</v>
      </c>
      <c r="CO18" s="607"/>
      <c r="CP18" s="607"/>
      <c r="CQ18" s="607"/>
      <c r="CR18" s="607"/>
      <c r="CS18" s="607"/>
      <c r="CT18" s="607"/>
      <c r="CU18" s="608"/>
      <c r="CV18" s="612" t="s">
        <v>21</v>
      </c>
      <c r="CW18" s="607"/>
      <c r="CX18" s="607"/>
      <c r="CY18" s="607"/>
      <c r="CZ18" s="607"/>
      <c r="DA18" s="607"/>
      <c r="DB18" s="607"/>
      <c r="DC18" s="607"/>
      <c r="DD18" s="607"/>
      <c r="DE18" s="608"/>
      <c r="DF18" s="308"/>
      <c r="DG18" s="589"/>
      <c r="DH18" s="590"/>
      <c r="DI18" s="590"/>
      <c r="DJ18" s="590"/>
      <c r="DK18" s="590"/>
      <c r="DL18" s="590"/>
      <c r="DM18" s="590"/>
      <c r="DN18" s="590"/>
      <c r="DO18" s="590"/>
      <c r="DP18" s="590"/>
      <c r="DQ18" s="590"/>
      <c r="DR18" s="590"/>
      <c r="DS18" s="591"/>
      <c r="DT18" s="589"/>
      <c r="DU18" s="590"/>
      <c r="DV18" s="590"/>
      <c r="DW18" s="590"/>
      <c r="DX18" s="590"/>
      <c r="DY18" s="590"/>
      <c r="DZ18" s="590"/>
      <c r="EA18" s="590"/>
      <c r="EB18" s="590"/>
      <c r="EC18" s="590"/>
      <c r="ED18" s="590"/>
      <c r="EE18" s="590"/>
      <c r="EF18" s="591"/>
      <c r="EG18" s="589"/>
      <c r="EH18" s="590"/>
      <c r="EI18" s="590"/>
      <c r="EJ18" s="590"/>
      <c r="EK18" s="590"/>
      <c r="EL18" s="590"/>
      <c r="EM18" s="590"/>
      <c r="EN18" s="590"/>
      <c r="EO18" s="590"/>
      <c r="EP18" s="590"/>
      <c r="EQ18" s="590"/>
      <c r="ER18" s="590"/>
      <c r="ES18" s="591"/>
      <c r="ET18" s="589"/>
      <c r="EU18" s="590"/>
      <c r="EV18" s="590"/>
      <c r="EW18" s="590"/>
      <c r="EX18" s="590"/>
      <c r="EY18" s="590"/>
      <c r="EZ18" s="590"/>
      <c r="FA18" s="590"/>
      <c r="FB18" s="590"/>
      <c r="FC18" s="590"/>
      <c r="FD18" s="590"/>
      <c r="FE18" s="590"/>
      <c r="FF18" s="591"/>
      <c r="FI18" s="269"/>
    </row>
    <row r="19" spans="1:165" s="309" customFormat="1" ht="24" hidden="1" customHeight="1">
      <c r="A19" s="607"/>
      <c r="B19" s="607"/>
      <c r="C19" s="607"/>
      <c r="D19" s="607"/>
      <c r="E19" s="607"/>
      <c r="F19" s="607"/>
      <c r="G19" s="607"/>
      <c r="H19" s="608"/>
      <c r="I19" s="630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/>
      <c r="AP19" s="631"/>
      <c r="AQ19" s="631"/>
      <c r="AR19" s="631"/>
      <c r="AS19" s="631"/>
      <c r="AT19" s="631"/>
      <c r="AU19" s="631"/>
      <c r="AV19" s="631"/>
      <c r="AW19" s="631"/>
      <c r="AX19" s="631"/>
      <c r="AY19" s="631"/>
      <c r="AZ19" s="631"/>
      <c r="BA19" s="631"/>
      <c r="BB19" s="631"/>
      <c r="BC19" s="631"/>
      <c r="BD19" s="631"/>
      <c r="BE19" s="631"/>
      <c r="BF19" s="631"/>
      <c r="BG19" s="631"/>
      <c r="BH19" s="631"/>
      <c r="BI19" s="631"/>
      <c r="BJ19" s="631"/>
      <c r="BK19" s="631"/>
      <c r="BL19" s="631"/>
      <c r="BM19" s="631"/>
      <c r="BN19" s="631"/>
      <c r="BO19" s="631"/>
      <c r="BP19" s="631"/>
      <c r="BQ19" s="631"/>
      <c r="BR19" s="631"/>
      <c r="BS19" s="631"/>
      <c r="BT19" s="631"/>
      <c r="BU19" s="631"/>
      <c r="BV19" s="631"/>
      <c r="BW19" s="631"/>
      <c r="BX19" s="631"/>
      <c r="BY19" s="631"/>
      <c r="BZ19" s="631"/>
      <c r="CA19" s="631"/>
      <c r="CB19" s="631"/>
      <c r="CC19" s="631"/>
      <c r="CD19" s="631"/>
      <c r="CE19" s="631"/>
      <c r="CF19" s="631"/>
      <c r="CG19" s="631"/>
      <c r="CH19" s="631"/>
      <c r="CI19" s="631"/>
      <c r="CJ19" s="631"/>
      <c r="CK19" s="631"/>
      <c r="CL19" s="631"/>
      <c r="CM19" s="631"/>
      <c r="CN19" s="611" t="s">
        <v>404</v>
      </c>
      <c r="CO19" s="607"/>
      <c r="CP19" s="607"/>
      <c r="CQ19" s="607"/>
      <c r="CR19" s="607"/>
      <c r="CS19" s="607"/>
      <c r="CT19" s="607"/>
      <c r="CU19" s="608"/>
      <c r="CV19" s="612" t="s">
        <v>21</v>
      </c>
      <c r="CW19" s="607"/>
      <c r="CX19" s="607"/>
      <c r="CY19" s="607"/>
      <c r="CZ19" s="607"/>
      <c r="DA19" s="607"/>
      <c r="DB19" s="607"/>
      <c r="DC19" s="607"/>
      <c r="DD19" s="607"/>
      <c r="DE19" s="608"/>
      <c r="DF19" s="308"/>
      <c r="DG19" s="589"/>
      <c r="DH19" s="590"/>
      <c r="DI19" s="590"/>
      <c r="DJ19" s="590"/>
      <c r="DK19" s="590"/>
      <c r="DL19" s="590"/>
      <c r="DM19" s="590"/>
      <c r="DN19" s="590"/>
      <c r="DO19" s="590"/>
      <c r="DP19" s="590"/>
      <c r="DQ19" s="590"/>
      <c r="DR19" s="590"/>
      <c r="DS19" s="591"/>
      <c r="DT19" s="589"/>
      <c r="DU19" s="590"/>
      <c r="DV19" s="590"/>
      <c r="DW19" s="590"/>
      <c r="DX19" s="590"/>
      <c r="DY19" s="590"/>
      <c r="DZ19" s="590"/>
      <c r="EA19" s="590"/>
      <c r="EB19" s="590"/>
      <c r="EC19" s="590"/>
      <c r="ED19" s="590"/>
      <c r="EE19" s="590"/>
      <c r="EF19" s="591"/>
      <c r="EG19" s="589"/>
      <c r="EH19" s="590"/>
      <c r="EI19" s="590"/>
      <c r="EJ19" s="590"/>
      <c r="EK19" s="590"/>
      <c r="EL19" s="590"/>
      <c r="EM19" s="590"/>
      <c r="EN19" s="590"/>
      <c r="EO19" s="590"/>
      <c r="EP19" s="590"/>
      <c r="EQ19" s="590"/>
      <c r="ER19" s="590"/>
      <c r="ES19" s="591"/>
      <c r="ET19" s="589"/>
      <c r="EU19" s="590"/>
      <c r="EV19" s="590"/>
      <c r="EW19" s="590"/>
      <c r="EX19" s="590"/>
      <c r="EY19" s="590"/>
      <c r="EZ19" s="590"/>
      <c r="FA19" s="590"/>
      <c r="FB19" s="590"/>
      <c r="FC19" s="590"/>
      <c r="FD19" s="590"/>
      <c r="FE19" s="590"/>
      <c r="FF19" s="591"/>
      <c r="FI19" s="269"/>
    </row>
    <row r="20" spans="1:165" ht="12.75" customHeight="1">
      <c r="A20" s="607" t="s">
        <v>151</v>
      </c>
      <c r="B20" s="607"/>
      <c r="C20" s="607"/>
      <c r="D20" s="607"/>
      <c r="E20" s="607"/>
      <c r="F20" s="607"/>
      <c r="G20" s="607"/>
      <c r="H20" s="608"/>
      <c r="I20" s="630" t="s">
        <v>152</v>
      </c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1"/>
      <c r="AQ20" s="631"/>
      <c r="AR20" s="631"/>
      <c r="AS20" s="631"/>
      <c r="AT20" s="631"/>
      <c r="AU20" s="631"/>
      <c r="AV20" s="631"/>
      <c r="AW20" s="631"/>
      <c r="AX20" s="631"/>
      <c r="AY20" s="631"/>
      <c r="AZ20" s="631"/>
      <c r="BA20" s="631"/>
      <c r="BB20" s="631"/>
      <c r="BC20" s="631"/>
      <c r="BD20" s="631"/>
      <c r="BE20" s="631"/>
      <c r="BF20" s="631"/>
      <c r="BG20" s="631"/>
      <c r="BH20" s="631"/>
      <c r="BI20" s="631"/>
      <c r="BJ20" s="631"/>
      <c r="BK20" s="631"/>
      <c r="BL20" s="631"/>
      <c r="BM20" s="631"/>
      <c r="BN20" s="631"/>
      <c r="BO20" s="631"/>
      <c r="BP20" s="631"/>
      <c r="BQ20" s="631"/>
      <c r="BR20" s="631"/>
      <c r="BS20" s="631"/>
      <c r="BT20" s="631"/>
      <c r="BU20" s="631"/>
      <c r="BV20" s="631"/>
      <c r="BW20" s="631"/>
      <c r="BX20" s="631"/>
      <c r="BY20" s="631"/>
      <c r="BZ20" s="631"/>
      <c r="CA20" s="631"/>
      <c r="CB20" s="631"/>
      <c r="CC20" s="631"/>
      <c r="CD20" s="631"/>
      <c r="CE20" s="631"/>
      <c r="CF20" s="631"/>
      <c r="CG20" s="631"/>
      <c r="CH20" s="631"/>
      <c r="CI20" s="631"/>
      <c r="CJ20" s="631"/>
      <c r="CK20" s="631"/>
      <c r="CL20" s="631"/>
      <c r="CM20" s="631"/>
      <c r="CN20" s="611" t="s">
        <v>153</v>
      </c>
      <c r="CO20" s="607"/>
      <c r="CP20" s="607"/>
      <c r="CQ20" s="607"/>
      <c r="CR20" s="607"/>
      <c r="CS20" s="607"/>
      <c r="CT20" s="607"/>
      <c r="CU20" s="608"/>
      <c r="CV20" s="612" t="s">
        <v>21</v>
      </c>
      <c r="CW20" s="607"/>
      <c r="CX20" s="607"/>
      <c r="CY20" s="607"/>
      <c r="CZ20" s="607"/>
      <c r="DA20" s="607"/>
      <c r="DB20" s="607"/>
      <c r="DC20" s="607"/>
      <c r="DD20" s="607"/>
      <c r="DE20" s="608"/>
      <c r="DF20" s="297"/>
      <c r="DG20" s="589"/>
      <c r="DH20" s="590"/>
      <c r="DI20" s="590"/>
      <c r="DJ20" s="590"/>
      <c r="DK20" s="590"/>
      <c r="DL20" s="590"/>
      <c r="DM20" s="590"/>
      <c r="DN20" s="590"/>
      <c r="DO20" s="590"/>
      <c r="DP20" s="590"/>
      <c r="DQ20" s="590"/>
      <c r="DR20" s="590"/>
      <c r="DS20" s="591"/>
      <c r="DT20" s="589"/>
      <c r="DU20" s="590"/>
      <c r="DV20" s="590"/>
      <c r="DW20" s="590"/>
      <c r="DX20" s="590"/>
      <c r="DY20" s="590"/>
      <c r="DZ20" s="590"/>
      <c r="EA20" s="590"/>
      <c r="EB20" s="590"/>
      <c r="EC20" s="590"/>
      <c r="ED20" s="590"/>
      <c r="EE20" s="590"/>
      <c r="EF20" s="591"/>
      <c r="EG20" s="589"/>
      <c r="EH20" s="590"/>
      <c r="EI20" s="590"/>
      <c r="EJ20" s="590"/>
      <c r="EK20" s="590"/>
      <c r="EL20" s="590"/>
      <c r="EM20" s="590"/>
      <c r="EN20" s="590"/>
      <c r="EO20" s="590"/>
      <c r="EP20" s="590"/>
      <c r="EQ20" s="590"/>
      <c r="ER20" s="590"/>
      <c r="ES20" s="591"/>
      <c r="ET20" s="589"/>
      <c r="EU20" s="590"/>
      <c r="EV20" s="590"/>
      <c r="EW20" s="590"/>
      <c r="EX20" s="590"/>
      <c r="EY20" s="590"/>
      <c r="EZ20" s="590"/>
      <c r="FA20" s="590"/>
      <c r="FB20" s="590"/>
      <c r="FC20" s="590"/>
      <c r="FD20" s="590"/>
      <c r="FE20" s="590"/>
      <c r="FF20" s="591"/>
      <c r="FI20" s="269"/>
    </row>
    <row r="21" spans="1:165" ht="24" customHeight="1">
      <c r="A21" s="607" t="s">
        <v>154</v>
      </c>
      <c r="B21" s="607"/>
      <c r="C21" s="607"/>
      <c r="D21" s="607"/>
      <c r="E21" s="607"/>
      <c r="F21" s="607"/>
      <c r="G21" s="607"/>
      <c r="H21" s="608"/>
      <c r="I21" s="640" t="s">
        <v>155</v>
      </c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  <c r="BB21" s="641"/>
      <c r="BC21" s="641"/>
      <c r="BD21" s="641"/>
      <c r="BE21" s="641"/>
      <c r="BF21" s="641"/>
      <c r="BG21" s="641"/>
      <c r="BH21" s="641"/>
      <c r="BI21" s="641"/>
      <c r="BJ21" s="641"/>
      <c r="BK21" s="641"/>
      <c r="BL21" s="641"/>
      <c r="BM21" s="641"/>
      <c r="BN21" s="641"/>
      <c r="BO21" s="641"/>
      <c r="BP21" s="641"/>
      <c r="BQ21" s="641"/>
      <c r="BR21" s="641"/>
      <c r="BS21" s="641"/>
      <c r="BT21" s="641"/>
      <c r="BU21" s="641"/>
      <c r="BV21" s="641"/>
      <c r="BW21" s="641"/>
      <c r="BX21" s="641"/>
      <c r="BY21" s="641"/>
      <c r="BZ21" s="641"/>
      <c r="CA21" s="641"/>
      <c r="CB21" s="641"/>
      <c r="CC21" s="641"/>
      <c r="CD21" s="641"/>
      <c r="CE21" s="641"/>
      <c r="CF21" s="641"/>
      <c r="CG21" s="641"/>
      <c r="CH21" s="641"/>
      <c r="CI21" s="641"/>
      <c r="CJ21" s="641"/>
      <c r="CK21" s="641"/>
      <c r="CL21" s="641"/>
      <c r="CM21" s="641"/>
      <c r="CN21" s="611" t="s">
        <v>156</v>
      </c>
      <c r="CO21" s="607"/>
      <c r="CP21" s="607"/>
      <c r="CQ21" s="607"/>
      <c r="CR21" s="607"/>
      <c r="CS21" s="607"/>
      <c r="CT21" s="607"/>
      <c r="CU21" s="608"/>
      <c r="CV21" s="612" t="s">
        <v>21</v>
      </c>
      <c r="CW21" s="607"/>
      <c r="CX21" s="607"/>
      <c r="CY21" s="607"/>
      <c r="CZ21" s="607"/>
      <c r="DA21" s="607"/>
      <c r="DB21" s="607"/>
      <c r="DC21" s="607"/>
      <c r="DD21" s="607"/>
      <c r="DE21" s="608"/>
      <c r="DF21" s="297"/>
      <c r="DG21" s="589">
        <f>DG22+DG31</f>
        <v>1713658.44</v>
      </c>
      <c r="DH21" s="590"/>
      <c r="DI21" s="590"/>
      <c r="DJ21" s="590"/>
      <c r="DK21" s="590"/>
      <c r="DL21" s="590"/>
      <c r="DM21" s="590"/>
      <c r="DN21" s="590"/>
      <c r="DO21" s="590"/>
      <c r="DP21" s="590"/>
      <c r="DQ21" s="590"/>
      <c r="DR21" s="590"/>
      <c r="DS21" s="591"/>
      <c r="DT21" s="589">
        <f>DT22+DT31</f>
        <v>2843096.24</v>
      </c>
      <c r="DU21" s="590"/>
      <c r="DV21" s="590"/>
      <c r="DW21" s="590"/>
      <c r="DX21" s="590"/>
      <c r="DY21" s="590"/>
      <c r="DZ21" s="590"/>
      <c r="EA21" s="590"/>
      <c r="EB21" s="590"/>
      <c r="EC21" s="590"/>
      <c r="ED21" s="590"/>
      <c r="EE21" s="590"/>
      <c r="EF21" s="591"/>
      <c r="EG21" s="589">
        <f>EG22+EG31</f>
        <v>2207688.21</v>
      </c>
      <c r="EH21" s="590"/>
      <c r="EI21" s="590"/>
      <c r="EJ21" s="590"/>
      <c r="EK21" s="590"/>
      <c r="EL21" s="590"/>
      <c r="EM21" s="590"/>
      <c r="EN21" s="590"/>
      <c r="EO21" s="590"/>
      <c r="EP21" s="590"/>
      <c r="EQ21" s="590"/>
      <c r="ER21" s="590"/>
      <c r="ES21" s="591"/>
      <c r="ET21" s="589">
        <f>ET22+ET31</f>
        <v>0</v>
      </c>
      <c r="EU21" s="590"/>
      <c r="EV21" s="590"/>
      <c r="EW21" s="590"/>
      <c r="EX21" s="590"/>
      <c r="EY21" s="590"/>
      <c r="EZ21" s="590"/>
      <c r="FA21" s="590"/>
      <c r="FB21" s="590"/>
      <c r="FC21" s="590"/>
      <c r="FD21" s="590"/>
      <c r="FE21" s="590"/>
      <c r="FF21" s="591"/>
      <c r="FI21" s="269"/>
    </row>
    <row r="22" spans="1:165" ht="24" customHeight="1">
      <c r="A22" s="607" t="s">
        <v>157</v>
      </c>
      <c r="B22" s="607"/>
      <c r="C22" s="607"/>
      <c r="D22" s="607"/>
      <c r="E22" s="607"/>
      <c r="F22" s="607"/>
      <c r="G22" s="607"/>
      <c r="H22" s="608"/>
      <c r="I22" s="630" t="s">
        <v>149</v>
      </c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1"/>
      <c r="AG22" s="631"/>
      <c r="AH22" s="631"/>
      <c r="AI22" s="631"/>
      <c r="AJ22" s="631"/>
      <c r="AK22" s="631"/>
      <c r="AL22" s="631"/>
      <c r="AM22" s="631"/>
      <c r="AN22" s="631"/>
      <c r="AO22" s="631"/>
      <c r="AP22" s="631"/>
      <c r="AQ22" s="631"/>
      <c r="AR22" s="631"/>
      <c r="AS22" s="631"/>
      <c r="AT22" s="631"/>
      <c r="AU22" s="631"/>
      <c r="AV22" s="631"/>
      <c r="AW22" s="631"/>
      <c r="AX22" s="631"/>
      <c r="AY22" s="631"/>
      <c r="AZ22" s="631"/>
      <c r="BA22" s="631"/>
      <c r="BB22" s="631"/>
      <c r="BC22" s="631"/>
      <c r="BD22" s="631"/>
      <c r="BE22" s="631"/>
      <c r="BF22" s="631"/>
      <c r="BG22" s="631"/>
      <c r="BH22" s="631"/>
      <c r="BI22" s="631"/>
      <c r="BJ22" s="631"/>
      <c r="BK22" s="631"/>
      <c r="BL22" s="631"/>
      <c r="BM22" s="631"/>
      <c r="BN22" s="631"/>
      <c r="BO22" s="631"/>
      <c r="BP22" s="631"/>
      <c r="BQ22" s="631"/>
      <c r="BR22" s="631"/>
      <c r="BS22" s="631"/>
      <c r="BT22" s="631"/>
      <c r="BU22" s="631"/>
      <c r="BV22" s="631"/>
      <c r="BW22" s="631"/>
      <c r="BX22" s="631"/>
      <c r="BY22" s="631"/>
      <c r="BZ22" s="631"/>
      <c r="CA22" s="631"/>
      <c r="CB22" s="631"/>
      <c r="CC22" s="631"/>
      <c r="CD22" s="631"/>
      <c r="CE22" s="631"/>
      <c r="CF22" s="631"/>
      <c r="CG22" s="631"/>
      <c r="CH22" s="631"/>
      <c r="CI22" s="631"/>
      <c r="CJ22" s="631"/>
      <c r="CK22" s="631"/>
      <c r="CL22" s="631"/>
      <c r="CM22" s="631"/>
      <c r="CN22" s="611" t="s">
        <v>158</v>
      </c>
      <c r="CO22" s="607"/>
      <c r="CP22" s="607"/>
      <c r="CQ22" s="607"/>
      <c r="CR22" s="607"/>
      <c r="CS22" s="607"/>
      <c r="CT22" s="607"/>
      <c r="CU22" s="608"/>
      <c r="CV22" s="612" t="s">
        <v>21</v>
      </c>
      <c r="CW22" s="607"/>
      <c r="CX22" s="607"/>
      <c r="CY22" s="607"/>
      <c r="CZ22" s="607"/>
      <c r="DA22" s="607"/>
      <c r="DB22" s="607"/>
      <c r="DC22" s="607"/>
      <c r="DD22" s="607"/>
      <c r="DE22" s="608"/>
      <c r="DF22" s="297"/>
      <c r="DG22" s="589">
        <f>вспомогательная!K283+вспомогательная!K217+вспомогательная!K216+вспомогательная!K215+вспомогательная!K214+вспомогательная!K197</f>
        <v>1713658.44</v>
      </c>
      <c r="DH22" s="590"/>
      <c r="DI22" s="590"/>
      <c r="DJ22" s="590"/>
      <c r="DK22" s="590"/>
      <c r="DL22" s="590"/>
      <c r="DM22" s="590"/>
      <c r="DN22" s="590"/>
      <c r="DO22" s="590"/>
      <c r="DP22" s="590"/>
      <c r="DQ22" s="590"/>
      <c r="DR22" s="590"/>
      <c r="DS22" s="591"/>
      <c r="DT22" s="589">
        <f>вспомогательная!L283+вспомогательная!L217+вспомогательная!L216+вспомогательная!L215+вспомогательная!L214+вспомогательная!L197</f>
        <v>2843096.24</v>
      </c>
      <c r="DU22" s="590"/>
      <c r="DV22" s="590"/>
      <c r="DW22" s="590"/>
      <c r="DX22" s="590"/>
      <c r="DY22" s="590"/>
      <c r="DZ22" s="590"/>
      <c r="EA22" s="590"/>
      <c r="EB22" s="590"/>
      <c r="EC22" s="590"/>
      <c r="ED22" s="590"/>
      <c r="EE22" s="590"/>
      <c r="EF22" s="591"/>
      <c r="EG22" s="589">
        <f>вспомогательная!M283+вспомогательная!M217+вспомогательная!M216+вспомогательная!M215+вспомогательная!M214+вспомогательная!M197</f>
        <v>2207688.21</v>
      </c>
      <c r="EH22" s="590"/>
      <c r="EI22" s="590"/>
      <c r="EJ22" s="590"/>
      <c r="EK22" s="590"/>
      <c r="EL22" s="590"/>
      <c r="EM22" s="590"/>
      <c r="EN22" s="590"/>
      <c r="EO22" s="590"/>
      <c r="EP22" s="590"/>
      <c r="EQ22" s="590"/>
      <c r="ER22" s="590"/>
      <c r="ES22" s="591"/>
      <c r="ET22" s="589"/>
      <c r="EU22" s="590"/>
      <c r="EV22" s="590"/>
      <c r="EW22" s="590"/>
      <c r="EX22" s="590"/>
      <c r="EY22" s="590"/>
      <c r="EZ22" s="590"/>
      <c r="FA22" s="590"/>
      <c r="FB22" s="590"/>
      <c r="FC22" s="590"/>
      <c r="FD22" s="590"/>
      <c r="FE22" s="590"/>
      <c r="FF22" s="591"/>
      <c r="FI22" s="269"/>
    </row>
    <row r="23" spans="1:165" s="301" customFormat="1" ht="24" customHeight="1">
      <c r="A23" s="607"/>
      <c r="B23" s="607"/>
      <c r="C23" s="607"/>
      <c r="D23" s="607"/>
      <c r="E23" s="607"/>
      <c r="F23" s="607"/>
      <c r="G23" s="607"/>
      <c r="H23" s="608"/>
      <c r="I23" s="630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  <c r="AP23" s="631"/>
      <c r="AQ23" s="631"/>
      <c r="AR23" s="631"/>
      <c r="AS23" s="631"/>
      <c r="AT23" s="631"/>
      <c r="AU23" s="631"/>
      <c r="AV23" s="631"/>
      <c r="AW23" s="631"/>
      <c r="AX23" s="631"/>
      <c r="AY23" s="631"/>
      <c r="AZ23" s="631"/>
      <c r="BA23" s="631"/>
      <c r="BB23" s="631"/>
      <c r="BC23" s="631"/>
      <c r="BD23" s="631"/>
      <c r="BE23" s="631"/>
      <c r="BF23" s="631"/>
      <c r="BG23" s="631"/>
      <c r="BH23" s="631"/>
      <c r="BI23" s="631"/>
      <c r="BJ23" s="631"/>
      <c r="BK23" s="631"/>
      <c r="BL23" s="631"/>
      <c r="BM23" s="631"/>
      <c r="BN23" s="631"/>
      <c r="BO23" s="631"/>
      <c r="BP23" s="631"/>
      <c r="BQ23" s="631"/>
      <c r="BR23" s="631"/>
      <c r="BS23" s="631"/>
      <c r="BT23" s="631"/>
      <c r="BU23" s="631"/>
      <c r="BV23" s="631"/>
      <c r="BW23" s="631"/>
      <c r="BX23" s="631"/>
      <c r="BY23" s="631"/>
      <c r="BZ23" s="631"/>
      <c r="CA23" s="631"/>
      <c r="CB23" s="631"/>
      <c r="CC23" s="631"/>
      <c r="CD23" s="631"/>
      <c r="CE23" s="631"/>
      <c r="CF23" s="631"/>
      <c r="CG23" s="631"/>
      <c r="CH23" s="631"/>
      <c r="CI23" s="631"/>
      <c r="CJ23" s="631"/>
      <c r="CK23" s="631"/>
      <c r="CL23" s="631"/>
      <c r="CM23" s="631"/>
      <c r="CN23" s="611" t="s">
        <v>406</v>
      </c>
      <c r="CO23" s="607"/>
      <c r="CP23" s="607"/>
      <c r="CQ23" s="607"/>
      <c r="CR23" s="607"/>
      <c r="CS23" s="607"/>
      <c r="CT23" s="607"/>
      <c r="CU23" s="608"/>
      <c r="CV23" s="612" t="s">
        <v>21</v>
      </c>
      <c r="CW23" s="607"/>
      <c r="CX23" s="607"/>
      <c r="CY23" s="607"/>
      <c r="CZ23" s="607"/>
      <c r="DA23" s="607"/>
      <c r="DB23" s="607"/>
      <c r="DC23" s="607"/>
      <c r="DD23" s="607"/>
      <c r="DE23" s="608"/>
      <c r="DF23" s="432" t="s">
        <v>565</v>
      </c>
      <c r="DG23" s="589">
        <v>60000</v>
      </c>
      <c r="DH23" s="590"/>
      <c r="DI23" s="590"/>
      <c r="DJ23" s="590"/>
      <c r="DK23" s="590"/>
      <c r="DL23" s="590"/>
      <c r="DM23" s="590"/>
      <c r="DN23" s="590"/>
      <c r="DO23" s="590"/>
      <c r="DP23" s="590"/>
      <c r="DQ23" s="590"/>
      <c r="DR23" s="590"/>
      <c r="DS23" s="591"/>
      <c r="DT23" s="589">
        <v>1300000</v>
      </c>
      <c r="DU23" s="590"/>
      <c r="DV23" s="590"/>
      <c r="DW23" s="590"/>
      <c r="DX23" s="590"/>
      <c r="DY23" s="590"/>
      <c r="DZ23" s="590"/>
      <c r="EA23" s="590"/>
      <c r="EB23" s="590"/>
      <c r="EC23" s="590"/>
      <c r="ED23" s="590"/>
      <c r="EE23" s="590"/>
      <c r="EF23" s="591"/>
      <c r="EG23" s="589">
        <v>598000</v>
      </c>
      <c r="EH23" s="590"/>
      <c r="EI23" s="590"/>
      <c r="EJ23" s="590"/>
      <c r="EK23" s="590"/>
      <c r="EL23" s="590"/>
      <c r="EM23" s="590"/>
      <c r="EN23" s="590"/>
      <c r="EO23" s="590"/>
      <c r="EP23" s="590"/>
      <c r="EQ23" s="590"/>
      <c r="ER23" s="590"/>
      <c r="ES23" s="591"/>
      <c r="ET23" s="589"/>
      <c r="EU23" s="590"/>
      <c r="EV23" s="590"/>
      <c r="EW23" s="590"/>
      <c r="EX23" s="590"/>
      <c r="EY23" s="590"/>
      <c r="EZ23" s="590"/>
      <c r="FA23" s="590"/>
      <c r="FB23" s="590"/>
      <c r="FC23" s="590"/>
      <c r="FD23" s="590"/>
      <c r="FE23" s="590"/>
      <c r="FF23" s="591"/>
      <c r="FI23" s="269"/>
    </row>
    <row r="24" spans="1:165" s="301" customFormat="1" ht="24" customHeight="1">
      <c r="A24" s="607"/>
      <c r="B24" s="607"/>
      <c r="C24" s="607"/>
      <c r="D24" s="607"/>
      <c r="E24" s="607"/>
      <c r="F24" s="607"/>
      <c r="G24" s="607"/>
      <c r="H24" s="608"/>
      <c r="I24" s="630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  <c r="AL24" s="631"/>
      <c r="AM24" s="631"/>
      <c r="AN24" s="631"/>
      <c r="AO24" s="631"/>
      <c r="AP24" s="631"/>
      <c r="AQ24" s="631"/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1"/>
      <c r="BG24" s="631"/>
      <c r="BH24" s="631"/>
      <c r="BI24" s="631"/>
      <c r="BJ24" s="631"/>
      <c r="BK24" s="631"/>
      <c r="BL24" s="631"/>
      <c r="BM24" s="631"/>
      <c r="BN24" s="631"/>
      <c r="BO24" s="631"/>
      <c r="BP24" s="631"/>
      <c r="BQ24" s="631"/>
      <c r="BR24" s="631"/>
      <c r="BS24" s="631"/>
      <c r="BT24" s="631"/>
      <c r="BU24" s="631"/>
      <c r="BV24" s="631"/>
      <c r="BW24" s="631"/>
      <c r="BX24" s="631"/>
      <c r="BY24" s="631"/>
      <c r="BZ24" s="631"/>
      <c r="CA24" s="631"/>
      <c r="CB24" s="631"/>
      <c r="CC24" s="631"/>
      <c r="CD24" s="631"/>
      <c r="CE24" s="631"/>
      <c r="CF24" s="631"/>
      <c r="CG24" s="631"/>
      <c r="CH24" s="631"/>
      <c r="CI24" s="631"/>
      <c r="CJ24" s="631"/>
      <c r="CK24" s="631"/>
      <c r="CL24" s="631"/>
      <c r="CM24" s="631"/>
      <c r="CN24" s="611" t="s">
        <v>407</v>
      </c>
      <c r="CO24" s="607"/>
      <c r="CP24" s="607"/>
      <c r="CQ24" s="607"/>
      <c r="CR24" s="607"/>
      <c r="CS24" s="607"/>
      <c r="CT24" s="607"/>
      <c r="CU24" s="608"/>
      <c r="CV24" s="612" t="s">
        <v>21</v>
      </c>
      <c r="CW24" s="607"/>
      <c r="CX24" s="607"/>
      <c r="CY24" s="607"/>
      <c r="CZ24" s="607"/>
      <c r="DA24" s="607"/>
      <c r="DB24" s="607"/>
      <c r="DC24" s="607"/>
      <c r="DD24" s="607"/>
      <c r="DE24" s="608"/>
      <c r="DF24" s="432" t="s">
        <v>566</v>
      </c>
      <c r="DG24" s="589">
        <v>505373</v>
      </c>
      <c r="DH24" s="590"/>
      <c r="DI24" s="590"/>
      <c r="DJ24" s="590"/>
      <c r="DK24" s="590"/>
      <c r="DL24" s="590"/>
      <c r="DM24" s="590"/>
      <c r="DN24" s="590"/>
      <c r="DO24" s="590"/>
      <c r="DP24" s="590"/>
      <c r="DQ24" s="590"/>
      <c r="DR24" s="590"/>
      <c r="DS24" s="591"/>
      <c r="DT24" s="589">
        <v>328376</v>
      </c>
      <c r="DU24" s="590"/>
      <c r="DV24" s="590"/>
      <c r="DW24" s="590"/>
      <c r="DX24" s="590"/>
      <c r="DY24" s="590"/>
      <c r="DZ24" s="590"/>
      <c r="EA24" s="590"/>
      <c r="EB24" s="590"/>
      <c r="EC24" s="590"/>
      <c r="ED24" s="590"/>
      <c r="EE24" s="590"/>
      <c r="EF24" s="591"/>
      <c r="EG24" s="589">
        <v>328376</v>
      </c>
      <c r="EH24" s="590"/>
      <c r="EI24" s="590"/>
      <c r="EJ24" s="590"/>
      <c r="EK24" s="590"/>
      <c r="EL24" s="590"/>
      <c r="EM24" s="590"/>
      <c r="EN24" s="590"/>
      <c r="EO24" s="590"/>
      <c r="EP24" s="590"/>
      <c r="EQ24" s="590"/>
      <c r="ER24" s="590"/>
      <c r="ES24" s="591"/>
      <c r="ET24" s="589"/>
      <c r="EU24" s="590"/>
      <c r="EV24" s="590"/>
      <c r="EW24" s="590"/>
      <c r="EX24" s="590"/>
      <c r="EY24" s="590"/>
      <c r="EZ24" s="590"/>
      <c r="FA24" s="590"/>
      <c r="FB24" s="590"/>
      <c r="FC24" s="590"/>
      <c r="FD24" s="590"/>
      <c r="FE24" s="590"/>
      <c r="FF24" s="591"/>
      <c r="FI24" s="269"/>
    </row>
    <row r="25" spans="1:165" s="301" customFormat="1" ht="24" customHeight="1">
      <c r="A25" s="607"/>
      <c r="B25" s="607"/>
      <c r="C25" s="607"/>
      <c r="D25" s="607"/>
      <c r="E25" s="607"/>
      <c r="F25" s="607"/>
      <c r="G25" s="607"/>
      <c r="H25" s="608"/>
      <c r="I25" s="630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1"/>
      <c r="X25" s="631"/>
      <c r="Y25" s="631"/>
      <c r="Z25" s="631"/>
      <c r="AA25" s="631"/>
      <c r="AB25" s="631"/>
      <c r="AC25" s="631"/>
      <c r="AD25" s="631"/>
      <c r="AE25" s="631"/>
      <c r="AF25" s="631"/>
      <c r="AG25" s="631"/>
      <c r="AH25" s="631"/>
      <c r="AI25" s="631"/>
      <c r="AJ25" s="631"/>
      <c r="AK25" s="631"/>
      <c r="AL25" s="631"/>
      <c r="AM25" s="631"/>
      <c r="AN25" s="631"/>
      <c r="AO25" s="631"/>
      <c r="AP25" s="631"/>
      <c r="AQ25" s="631"/>
      <c r="AR25" s="631"/>
      <c r="AS25" s="631"/>
      <c r="AT25" s="631"/>
      <c r="AU25" s="631"/>
      <c r="AV25" s="631"/>
      <c r="AW25" s="631"/>
      <c r="AX25" s="631"/>
      <c r="AY25" s="631"/>
      <c r="AZ25" s="631"/>
      <c r="BA25" s="631"/>
      <c r="BB25" s="631"/>
      <c r="BC25" s="631"/>
      <c r="BD25" s="631"/>
      <c r="BE25" s="631"/>
      <c r="BF25" s="631"/>
      <c r="BG25" s="631"/>
      <c r="BH25" s="631"/>
      <c r="BI25" s="631"/>
      <c r="BJ25" s="631"/>
      <c r="BK25" s="631"/>
      <c r="BL25" s="631"/>
      <c r="BM25" s="631"/>
      <c r="BN25" s="631"/>
      <c r="BO25" s="631"/>
      <c r="BP25" s="631"/>
      <c r="BQ25" s="631"/>
      <c r="BR25" s="631"/>
      <c r="BS25" s="631"/>
      <c r="BT25" s="631"/>
      <c r="BU25" s="631"/>
      <c r="BV25" s="631"/>
      <c r="BW25" s="631"/>
      <c r="BX25" s="631"/>
      <c r="BY25" s="631"/>
      <c r="BZ25" s="631"/>
      <c r="CA25" s="631"/>
      <c r="CB25" s="631"/>
      <c r="CC25" s="631"/>
      <c r="CD25" s="631"/>
      <c r="CE25" s="631"/>
      <c r="CF25" s="631"/>
      <c r="CG25" s="631"/>
      <c r="CH25" s="631"/>
      <c r="CI25" s="631"/>
      <c r="CJ25" s="631"/>
      <c r="CK25" s="631"/>
      <c r="CL25" s="631"/>
      <c r="CM25" s="631"/>
      <c r="CN25" s="611" t="s">
        <v>408</v>
      </c>
      <c r="CO25" s="607"/>
      <c r="CP25" s="607"/>
      <c r="CQ25" s="607"/>
      <c r="CR25" s="607"/>
      <c r="CS25" s="607"/>
      <c r="CT25" s="607"/>
      <c r="CU25" s="608"/>
      <c r="CV25" s="612" t="s">
        <v>21</v>
      </c>
      <c r="CW25" s="607"/>
      <c r="CX25" s="607"/>
      <c r="CY25" s="607"/>
      <c r="CZ25" s="607"/>
      <c r="DA25" s="607"/>
      <c r="DB25" s="607"/>
      <c r="DC25" s="607"/>
      <c r="DD25" s="607"/>
      <c r="DE25" s="608"/>
      <c r="DF25" s="432" t="s">
        <v>567</v>
      </c>
      <c r="DG25" s="589">
        <v>646307.19999999995</v>
      </c>
      <c r="DH25" s="590"/>
      <c r="DI25" s="590"/>
      <c r="DJ25" s="590"/>
      <c r="DK25" s="590"/>
      <c r="DL25" s="590"/>
      <c r="DM25" s="590"/>
      <c r="DN25" s="590"/>
      <c r="DO25" s="590"/>
      <c r="DP25" s="590"/>
      <c r="DQ25" s="590"/>
      <c r="DR25" s="590"/>
      <c r="DS25" s="591"/>
      <c r="DT25" s="589">
        <v>692124.3</v>
      </c>
      <c r="DU25" s="590"/>
      <c r="DV25" s="590"/>
      <c r="DW25" s="590"/>
      <c r="DX25" s="590"/>
      <c r="DY25" s="590"/>
      <c r="DZ25" s="590"/>
      <c r="EA25" s="590"/>
      <c r="EB25" s="590"/>
      <c r="EC25" s="590"/>
      <c r="ED25" s="590"/>
      <c r="EE25" s="590"/>
      <c r="EF25" s="591"/>
      <c r="EG25" s="589">
        <v>738049.8</v>
      </c>
      <c r="EH25" s="590"/>
      <c r="EI25" s="590"/>
      <c r="EJ25" s="590"/>
      <c r="EK25" s="590"/>
      <c r="EL25" s="590"/>
      <c r="EM25" s="590"/>
      <c r="EN25" s="590"/>
      <c r="EO25" s="590"/>
      <c r="EP25" s="590"/>
      <c r="EQ25" s="590"/>
      <c r="ER25" s="590"/>
      <c r="ES25" s="591"/>
      <c r="ET25" s="589"/>
      <c r="EU25" s="590"/>
      <c r="EV25" s="590"/>
      <c r="EW25" s="590"/>
      <c r="EX25" s="590"/>
      <c r="EY25" s="590"/>
      <c r="EZ25" s="590"/>
      <c r="FA25" s="590"/>
      <c r="FB25" s="590"/>
      <c r="FC25" s="590"/>
      <c r="FD25" s="590"/>
      <c r="FE25" s="590"/>
      <c r="FF25" s="591"/>
      <c r="FI25" s="269"/>
    </row>
    <row r="26" spans="1:165" s="301" customFormat="1" ht="24" customHeight="1">
      <c r="A26" s="607"/>
      <c r="B26" s="607"/>
      <c r="C26" s="607"/>
      <c r="D26" s="607"/>
      <c r="E26" s="607"/>
      <c r="F26" s="607"/>
      <c r="G26" s="607"/>
      <c r="H26" s="608"/>
      <c r="I26" s="630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  <c r="AD26" s="631"/>
      <c r="AE26" s="631"/>
      <c r="AF26" s="631"/>
      <c r="AG26" s="631"/>
      <c r="AH26" s="631"/>
      <c r="AI26" s="631"/>
      <c r="AJ26" s="631"/>
      <c r="AK26" s="631"/>
      <c r="AL26" s="631"/>
      <c r="AM26" s="631"/>
      <c r="AN26" s="631"/>
      <c r="AO26" s="631"/>
      <c r="AP26" s="631"/>
      <c r="AQ26" s="631"/>
      <c r="AR26" s="631"/>
      <c r="AS26" s="631"/>
      <c r="AT26" s="631"/>
      <c r="AU26" s="631"/>
      <c r="AV26" s="631"/>
      <c r="AW26" s="631"/>
      <c r="AX26" s="631"/>
      <c r="AY26" s="631"/>
      <c r="AZ26" s="631"/>
      <c r="BA26" s="631"/>
      <c r="BB26" s="631"/>
      <c r="BC26" s="631"/>
      <c r="BD26" s="631"/>
      <c r="BE26" s="631"/>
      <c r="BF26" s="631"/>
      <c r="BG26" s="631"/>
      <c r="BH26" s="631"/>
      <c r="BI26" s="631"/>
      <c r="BJ26" s="631"/>
      <c r="BK26" s="631"/>
      <c r="BL26" s="631"/>
      <c r="BM26" s="631"/>
      <c r="BN26" s="631"/>
      <c r="BO26" s="631"/>
      <c r="BP26" s="631"/>
      <c r="BQ26" s="631"/>
      <c r="BR26" s="631"/>
      <c r="BS26" s="631"/>
      <c r="BT26" s="631"/>
      <c r="BU26" s="631"/>
      <c r="BV26" s="631"/>
      <c r="BW26" s="631"/>
      <c r="BX26" s="631"/>
      <c r="BY26" s="631"/>
      <c r="BZ26" s="631"/>
      <c r="CA26" s="631"/>
      <c r="CB26" s="631"/>
      <c r="CC26" s="631"/>
      <c r="CD26" s="631"/>
      <c r="CE26" s="631"/>
      <c r="CF26" s="631"/>
      <c r="CG26" s="631"/>
      <c r="CH26" s="631"/>
      <c r="CI26" s="631"/>
      <c r="CJ26" s="631"/>
      <c r="CK26" s="631"/>
      <c r="CL26" s="631"/>
      <c r="CM26" s="631"/>
      <c r="CN26" s="611" t="s">
        <v>409</v>
      </c>
      <c r="CO26" s="607"/>
      <c r="CP26" s="607"/>
      <c r="CQ26" s="607"/>
      <c r="CR26" s="607"/>
      <c r="CS26" s="607"/>
      <c r="CT26" s="607"/>
      <c r="CU26" s="608"/>
      <c r="CV26" s="612" t="s">
        <v>21</v>
      </c>
      <c r="CW26" s="607"/>
      <c r="CX26" s="607"/>
      <c r="CY26" s="607"/>
      <c r="CZ26" s="607"/>
      <c r="DA26" s="607"/>
      <c r="DB26" s="607"/>
      <c r="DC26" s="607"/>
      <c r="DD26" s="607"/>
      <c r="DE26" s="608"/>
      <c r="DF26" s="432" t="s">
        <v>568</v>
      </c>
      <c r="DG26" s="589">
        <v>290838.24</v>
      </c>
      <c r="DH26" s="590"/>
      <c r="DI26" s="590"/>
      <c r="DJ26" s="590"/>
      <c r="DK26" s="590"/>
      <c r="DL26" s="590"/>
      <c r="DM26" s="590"/>
      <c r="DN26" s="590"/>
      <c r="DO26" s="590"/>
      <c r="DP26" s="590"/>
      <c r="DQ26" s="590"/>
      <c r="DR26" s="590"/>
      <c r="DS26" s="591"/>
      <c r="DT26" s="589">
        <v>311455.94</v>
      </c>
      <c r="DU26" s="590"/>
      <c r="DV26" s="590"/>
      <c r="DW26" s="590"/>
      <c r="DX26" s="590"/>
      <c r="DY26" s="590"/>
      <c r="DZ26" s="590"/>
      <c r="EA26" s="590"/>
      <c r="EB26" s="590"/>
      <c r="EC26" s="590"/>
      <c r="ED26" s="590"/>
      <c r="EE26" s="590"/>
      <c r="EF26" s="591"/>
      <c r="EG26" s="589">
        <v>332122.40999999997</v>
      </c>
      <c r="EH26" s="590"/>
      <c r="EI26" s="590"/>
      <c r="EJ26" s="590"/>
      <c r="EK26" s="590"/>
      <c r="EL26" s="590"/>
      <c r="EM26" s="590"/>
      <c r="EN26" s="590"/>
      <c r="EO26" s="590"/>
      <c r="EP26" s="590"/>
      <c r="EQ26" s="590"/>
      <c r="ER26" s="590"/>
      <c r="ES26" s="591"/>
      <c r="ET26" s="589"/>
      <c r="EU26" s="590"/>
      <c r="EV26" s="590"/>
      <c r="EW26" s="590"/>
      <c r="EX26" s="590"/>
      <c r="EY26" s="590"/>
      <c r="EZ26" s="590"/>
      <c r="FA26" s="590"/>
      <c r="FB26" s="590"/>
      <c r="FC26" s="590"/>
      <c r="FD26" s="590"/>
      <c r="FE26" s="590"/>
      <c r="FF26" s="591"/>
      <c r="FI26" s="269"/>
    </row>
    <row r="27" spans="1:165" s="301" customFormat="1" ht="24" customHeight="1">
      <c r="A27" s="607"/>
      <c r="B27" s="607"/>
      <c r="C27" s="607"/>
      <c r="D27" s="607"/>
      <c r="E27" s="607"/>
      <c r="F27" s="607"/>
      <c r="G27" s="607"/>
      <c r="H27" s="608"/>
      <c r="I27" s="630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1"/>
      <c r="AL27" s="631"/>
      <c r="AM27" s="631"/>
      <c r="AN27" s="631"/>
      <c r="AO27" s="631"/>
      <c r="AP27" s="631"/>
      <c r="AQ27" s="631"/>
      <c r="AR27" s="631"/>
      <c r="AS27" s="631"/>
      <c r="AT27" s="631"/>
      <c r="AU27" s="631"/>
      <c r="AV27" s="631"/>
      <c r="AW27" s="631"/>
      <c r="AX27" s="631"/>
      <c r="AY27" s="631"/>
      <c r="AZ27" s="631"/>
      <c r="BA27" s="631"/>
      <c r="BB27" s="631"/>
      <c r="BC27" s="631"/>
      <c r="BD27" s="631"/>
      <c r="BE27" s="631"/>
      <c r="BF27" s="631"/>
      <c r="BG27" s="631"/>
      <c r="BH27" s="631"/>
      <c r="BI27" s="631"/>
      <c r="BJ27" s="631"/>
      <c r="BK27" s="631"/>
      <c r="BL27" s="631"/>
      <c r="BM27" s="631"/>
      <c r="BN27" s="631"/>
      <c r="BO27" s="631"/>
      <c r="BP27" s="631"/>
      <c r="BQ27" s="631"/>
      <c r="BR27" s="631"/>
      <c r="BS27" s="631"/>
      <c r="BT27" s="631"/>
      <c r="BU27" s="631"/>
      <c r="BV27" s="631"/>
      <c r="BW27" s="631"/>
      <c r="BX27" s="631"/>
      <c r="BY27" s="631"/>
      <c r="BZ27" s="631"/>
      <c r="CA27" s="631"/>
      <c r="CB27" s="631"/>
      <c r="CC27" s="631"/>
      <c r="CD27" s="631"/>
      <c r="CE27" s="631"/>
      <c r="CF27" s="631"/>
      <c r="CG27" s="631"/>
      <c r="CH27" s="631"/>
      <c r="CI27" s="631"/>
      <c r="CJ27" s="631"/>
      <c r="CK27" s="631"/>
      <c r="CL27" s="631"/>
      <c r="CM27" s="631"/>
      <c r="CN27" s="611" t="s">
        <v>410</v>
      </c>
      <c r="CO27" s="607"/>
      <c r="CP27" s="607"/>
      <c r="CQ27" s="607"/>
      <c r="CR27" s="607"/>
      <c r="CS27" s="607"/>
      <c r="CT27" s="607"/>
      <c r="CU27" s="608"/>
      <c r="CV27" s="612" t="s">
        <v>21</v>
      </c>
      <c r="CW27" s="607"/>
      <c r="CX27" s="607"/>
      <c r="CY27" s="607"/>
      <c r="CZ27" s="607"/>
      <c r="DA27" s="607"/>
      <c r="DB27" s="607"/>
      <c r="DC27" s="607"/>
      <c r="DD27" s="607"/>
      <c r="DE27" s="608"/>
      <c r="DF27" s="432" t="s">
        <v>569</v>
      </c>
      <c r="DG27" s="589">
        <v>211140</v>
      </c>
      <c r="DH27" s="590"/>
      <c r="DI27" s="590"/>
      <c r="DJ27" s="590"/>
      <c r="DK27" s="590"/>
      <c r="DL27" s="590"/>
      <c r="DM27" s="590"/>
      <c r="DN27" s="590"/>
      <c r="DO27" s="590"/>
      <c r="DP27" s="590"/>
      <c r="DQ27" s="590"/>
      <c r="DR27" s="590"/>
      <c r="DS27" s="591"/>
      <c r="DT27" s="589">
        <v>211140</v>
      </c>
      <c r="DU27" s="590"/>
      <c r="DV27" s="590"/>
      <c r="DW27" s="590"/>
      <c r="DX27" s="590"/>
      <c r="DY27" s="590"/>
      <c r="DZ27" s="590"/>
      <c r="EA27" s="590"/>
      <c r="EB27" s="590"/>
      <c r="EC27" s="590"/>
      <c r="ED27" s="590"/>
      <c r="EE27" s="590"/>
      <c r="EF27" s="591"/>
      <c r="EG27" s="589">
        <v>211140</v>
      </c>
      <c r="EH27" s="590"/>
      <c r="EI27" s="590"/>
      <c r="EJ27" s="590"/>
      <c r="EK27" s="590"/>
      <c r="EL27" s="590"/>
      <c r="EM27" s="590"/>
      <c r="EN27" s="590"/>
      <c r="EO27" s="590"/>
      <c r="EP27" s="590"/>
      <c r="EQ27" s="590"/>
      <c r="ER27" s="590"/>
      <c r="ES27" s="591"/>
      <c r="ET27" s="589"/>
      <c r="EU27" s="590"/>
      <c r="EV27" s="590"/>
      <c r="EW27" s="590"/>
      <c r="EX27" s="590"/>
      <c r="EY27" s="590"/>
      <c r="EZ27" s="590"/>
      <c r="FA27" s="590"/>
      <c r="FB27" s="590"/>
      <c r="FC27" s="590"/>
      <c r="FD27" s="590"/>
      <c r="FE27" s="590"/>
      <c r="FF27" s="591"/>
      <c r="FI27" s="269"/>
    </row>
    <row r="28" spans="1:165" s="301" customFormat="1" ht="24" customHeight="1">
      <c r="A28" s="607"/>
      <c r="B28" s="607"/>
      <c r="C28" s="607"/>
      <c r="D28" s="607"/>
      <c r="E28" s="607"/>
      <c r="F28" s="607"/>
      <c r="G28" s="607"/>
      <c r="H28" s="608"/>
      <c r="I28" s="630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631"/>
      <c r="BC28" s="631"/>
      <c r="BD28" s="631"/>
      <c r="BE28" s="631"/>
      <c r="BF28" s="631"/>
      <c r="BG28" s="631"/>
      <c r="BH28" s="631"/>
      <c r="BI28" s="631"/>
      <c r="BJ28" s="631"/>
      <c r="BK28" s="631"/>
      <c r="BL28" s="631"/>
      <c r="BM28" s="631"/>
      <c r="BN28" s="631"/>
      <c r="BO28" s="631"/>
      <c r="BP28" s="631"/>
      <c r="BQ28" s="631"/>
      <c r="BR28" s="631"/>
      <c r="BS28" s="631"/>
      <c r="BT28" s="631"/>
      <c r="BU28" s="631"/>
      <c r="BV28" s="631"/>
      <c r="BW28" s="631"/>
      <c r="BX28" s="631"/>
      <c r="BY28" s="631"/>
      <c r="BZ28" s="631"/>
      <c r="CA28" s="631"/>
      <c r="CB28" s="631"/>
      <c r="CC28" s="631"/>
      <c r="CD28" s="631"/>
      <c r="CE28" s="631"/>
      <c r="CF28" s="631"/>
      <c r="CG28" s="631"/>
      <c r="CH28" s="631"/>
      <c r="CI28" s="631"/>
      <c r="CJ28" s="631"/>
      <c r="CK28" s="631"/>
      <c r="CL28" s="631"/>
      <c r="CM28" s="631"/>
      <c r="CN28" s="611" t="s">
        <v>411</v>
      </c>
      <c r="CO28" s="607"/>
      <c r="CP28" s="607"/>
      <c r="CQ28" s="607"/>
      <c r="CR28" s="607"/>
      <c r="CS28" s="607"/>
      <c r="CT28" s="607"/>
      <c r="CU28" s="608"/>
      <c r="CV28" s="612" t="s">
        <v>21</v>
      </c>
      <c r="CW28" s="607"/>
      <c r="CX28" s="607"/>
      <c r="CY28" s="607"/>
      <c r="CZ28" s="607"/>
      <c r="DA28" s="607"/>
      <c r="DB28" s="607"/>
      <c r="DC28" s="607"/>
      <c r="DD28" s="607"/>
      <c r="DE28" s="608"/>
      <c r="DF28" s="432" t="s">
        <v>569</v>
      </c>
      <c r="DG28" s="589">
        <f>DG23+DG24+DG25+DG26+DG27</f>
        <v>1713658.44</v>
      </c>
      <c r="DH28" s="590"/>
      <c r="DI28" s="590"/>
      <c r="DJ28" s="590"/>
      <c r="DK28" s="590"/>
      <c r="DL28" s="590"/>
      <c r="DM28" s="590"/>
      <c r="DN28" s="590"/>
      <c r="DO28" s="590"/>
      <c r="DP28" s="590"/>
      <c r="DQ28" s="590"/>
      <c r="DR28" s="590"/>
      <c r="DS28" s="591"/>
      <c r="DT28" s="589">
        <f t="shared" ref="DT28" si="0">DT23+DT24+DT25+DT26+DT27</f>
        <v>2843096.2399999998</v>
      </c>
      <c r="DU28" s="590"/>
      <c r="DV28" s="590"/>
      <c r="DW28" s="590"/>
      <c r="DX28" s="590"/>
      <c r="DY28" s="590"/>
      <c r="DZ28" s="590"/>
      <c r="EA28" s="590"/>
      <c r="EB28" s="590"/>
      <c r="EC28" s="590"/>
      <c r="ED28" s="590"/>
      <c r="EE28" s="590"/>
      <c r="EF28" s="591"/>
      <c r="EG28" s="589">
        <f t="shared" ref="EG28" si="1">EG23+EG24+EG25+EG26+EG27</f>
        <v>2207688.21</v>
      </c>
      <c r="EH28" s="590"/>
      <c r="EI28" s="590"/>
      <c r="EJ28" s="590"/>
      <c r="EK28" s="590"/>
      <c r="EL28" s="590"/>
      <c r="EM28" s="590"/>
      <c r="EN28" s="590"/>
      <c r="EO28" s="590"/>
      <c r="EP28" s="590"/>
      <c r="EQ28" s="590"/>
      <c r="ER28" s="590"/>
      <c r="ES28" s="591"/>
      <c r="ET28" s="589"/>
      <c r="EU28" s="590"/>
      <c r="EV28" s="590"/>
      <c r="EW28" s="590"/>
      <c r="EX28" s="590"/>
      <c r="EY28" s="590"/>
      <c r="EZ28" s="590"/>
      <c r="FA28" s="590"/>
      <c r="FB28" s="590"/>
      <c r="FC28" s="590"/>
      <c r="FD28" s="590"/>
      <c r="FE28" s="590"/>
      <c r="FF28" s="591"/>
      <c r="FI28" s="269"/>
    </row>
    <row r="29" spans="1:165" s="301" customFormat="1" ht="24" hidden="1" customHeight="1">
      <c r="A29" s="607"/>
      <c r="B29" s="607"/>
      <c r="C29" s="607"/>
      <c r="D29" s="607"/>
      <c r="E29" s="607"/>
      <c r="F29" s="607"/>
      <c r="G29" s="607"/>
      <c r="H29" s="608"/>
      <c r="I29" s="630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631"/>
      <c r="AM29" s="631"/>
      <c r="AN29" s="631"/>
      <c r="AO29" s="631"/>
      <c r="AP29" s="631"/>
      <c r="AQ29" s="631"/>
      <c r="AR29" s="631"/>
      <c r="AS29" s="631"/>
      <c r="AT29" s="631"/>
      <c r="AU29" s="631"/>
      <c r="AV29" s="631"/>
      <c r="AW29" s="631"/>
      <c r="AX29" s="631"/>
      <c r="AY29" s="631"/>
      <c r="AZ29" s="631"/>
      <c r="BA29" s="631"/>
      <c r="BB29" s="631"/>
      <c r="BC29" s="631"/>
      <c r="BD29" s="631"/>
      <c r="BE29" s="631"/>
      <c r="BF29" s="631"/>
      <c r="BG29" s="631"/>
      <c r="BH29" s="631"/>
      <c r="BI29" s="631"/>
      <c r="BJ29" s="631"/>
      <c r="BK29" s="631"/>
      <c r="BL29" s="631"/>
      <c r="BM29" s="631"/>
      <c r="BN29" s="631"/>
      <c r="BO29" s="631"/>
      <c r="BP29" s="631"/>
      <c r="BQ29" s="631"/>
      <c r="BR29" s="631"/>
      <c r="BS29" s="631"/>
      <c r="BT29" s="631"/>
      <c r="BU29" s="631"/>
      <c r="BV29" s="631"/>
      <c r="BW29" s="631"/>
      <c r="BX29" s="631"/>
      <c r="BY29" s="631"/>
      <c r="BZ29" s="631"/>
      <c r="CA29" s="631"/>
      <c r="CB29" s="631"/>
      <c r="CC29" s="631"/>
      <c r="CD29" s="631"/>
      <c r="CE29" s="631"/>
      <c r="CF29" s="631"/>
      <c r="CG29" s="631"/>
      <c r="CH29" s="631"/>
      <c r="CI29" s="631"/>
      <c r="CJ29" s="631"/>
      <c r="CK29" s="631"/>
      <c r="CL29" s="631"/>
      <c r="CM29" s="631"/>
      <c r="CN29" s="611" t="s">
        <v>412</v>
      </c>
      <c r="CO29" s="607"/>
      <c r="CP29" s="607"/>
      <c r="CQ29" s="607"/>
      <c r="CR29" s="607"/>
      <c r="CS29" s="607"/>
      <c r="CT29" s="607"/>
      <c r="CU29" s="608"/>
      <c r="CV29" s="612" t="s">
        <v>21</v>
      </c>
      <c r="CW29" s="607"/>
      <c r="CX29" s="607"/>
      <c r="CY29" s="607"/>
      <c r="CZ29" s="607"/>
      <c r="DA29" s="607"/>
      <c r="DB29" s="607"/>
      <c r="DC29" s="607"/>
      <c r="DD29" s="607"/>
      <c r="DE29" s="608"/>
      <c r="DF29" s="432"/>
      <c r="DG29" s="589"/>
      <c r="DH29" s="590"/>
      <c r="DI29" s="590"/>
      <c r="DJ29" s="590"/>
      <c r="DK29" s="590"/>
      <c r="DL29" s="590"/>
      <c r="DM29" s="590"/>
      <c r="DN29" s="590"/>
      <c r="DO29" s="590"/>
      <c r="DP29" s="590"/>
      <c r="DQ29" s="590"/>
      <c r="DR29" s="590"/>
      <c r="DS29" s="591"/>
      <c r="DT29" s="589"/>
      <c r="DU29" s="590"/>
      <c r="DV29" s="590"/>
      <c r="DW29" s="590"/>
      <c r="DX29" s="590"/>
      <c r="DY29" s="590"/>
      <c r="DZ29" s="590"/>
      <c r="EA29" s="590"/>
      <c r="EB29" s="590"/>
      <c r="EC29" s="590"/>
      <c r="ED29" s="590"/>
      <c r="EE29" s="590"/>
      <c r="EF29" s="591"/>
      <c r="EG29" s="589"/>
      <c r="EH29" s="590"/>
      <c r="EI29" s="590"/>
      <c r="EJ29" s="590"/>
      <c r="EK29" s="590"/>
      <c r="EL29" s="590"/>
      <c r="EM29" s="590"/>
      <c r="EN29" s="590"/>
      <c r="EO29" s="590"/>
      <c r="EP29" s="590"/>
      <c r="EQ29" s="590"/>
      <c r="ER29" s="590"/>
      <c r="ES29" s="591"/>
      <c r="ET29" s="589"/>
      <c r="EU29" s="590"/>
      <c r="EV29" s="590"/>
      <c r="EW29" s="590"/>
      <c r="EX29" s="590"/>
      <c r="EY29" s="590"/>
      <c r="EZ29" s="590"/>
      <c r="FA29" s="590"/>
      <c r="FB29" s="590"/>
      <c r="FC29" s="590"/>
      <c r="FD29" s="590"/>
      <c r="FE29" s="590"/>
      <c r="FF29" s="591"/>
      <c r="FI29" s="269"/>
    </row>
    <row r="30" spans="1:165" s="301" customFormat="1" ht="24" hidden="1" customHeight="1">
      <c r="A30" s="607"/>
      <c r="B30" s="607"/>
      <c r="C30" s="607"/>
      <c r="D30" s="607"/>
      <c r="E30" s="607"/>
      <c r="F30" s="607"/>
      <c r="G30" s="607"/>
      <c r="H30" s="608"/>
      <c r="I30" s="630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1"/>
      <c r="AG30" s="631"/>
      <c r="AH30" s="631"/>
      <c r="AI30" s="631"/>
      <c r="AJ30" s="631"/>
      <c r="AK30" s="631"/>
      <c r="AL30" s="631"/>
      <c r="AM30" s="631"/>
      <c r="AN30" s="631"/>
      <c r="AO30" s="631"/>
      <c r="AP30" s="631"/>
      <c r="AQ30" s="631"/>
      <c r="AR30" s="631"/>
      <c r="AS30" s="631"/>
      <c r="AT30" s="631"/>
      <c r="AU30" s="631"/>
      <c r="AV30" s="631"/>
      <c r="AW30" s="631"/>
      <c r="AX30" s="631"/>
      <c r="AY30" s="631"/>
      <c r="AZ30" s="631"/>
      <c r="BA30" s="631"/>
      <c r="BB30" s="631"/>
      <c r="BC30" s="631"/>
      <c r="BD30" s="631"/>
      <c r="BE30" s="631"/>
      <c r="BF30" s="631"/>
      <c r="BG30" s="631"/>
      <c r="BH30" s="631"/>
      <c r="BI30" s="631"/>
      <c r="BJ30" s="631"/>
      <c r="BK30" s="631"/>
      <c r="BL30" s="631"/>
      <c r="BM30" s="631"/>
      <c r="BN30" s="631"/>
      <c r="BO30" s="631"/>
      <c r="BP30" s="631"/>
      <c r="BQ30" s="631"/>
      <c r="BR30" s="631"/>
      <c r="BS30" s="631"/>
      <c r="BT30" s="631"/>
      <c r="BU30" s="631"/>
      <c r="BV30" s="631"/>
      <c r="BW30" s="631"/>
      <c r="BX30" s="631"/>
      <c r="BY30" s="631"/>
      <c r="BZ30" s="631"/>
      <c r="CA30" s="631"/>
      <c r="CB30" s="631"/>
      <c r="CC30" s="631"/>
      <c r="CD30" s="631"/>
      <c r="CE30" s="631"/>
      <c r="CF30" s="631"/>
      <c r="CG30" s="631"/>
      <c r="CH30" s="631"/>
      <c r="CI30" s="631"/>
      <c r="CJ30" s="631"/>
      <c r="CK30" s="631"/>
      <c r="CL30" s="631"/>
      <c r="CM30" s="631"/>
      <c r="CN30" s="611" t="s">
        <v>413</v>
      </c>
      <c r="CO30" s="607"/>
      <c r="CP30" s="607"/>
      <c r="CQ30" s="607"/>
      <c r="CR30" s="607"/>
      <c r="CS30" s="607"/>
      <c r="CT30" s="607"/>
      <c r="CU30" s="608"/>
      <c r="CV30" s="612" t="s">
        <v>21</v>
      </c>
      <c r="CW30" s="607"/>
      <c r="CX30" s="607"/>
      <c r="CY30" s="607"/>
      <c r="CZ30" s="607"/>
      <c r="DA30" s="607"/>
      <c r="DB30" s="607"/>
      <c r="DC30" s="607"/>
      <c r="DD30" s="607"/>
      <c r="DE30" s="608"/>
      <c r="DF30" s="432"/>
      <c r="DG30" s="589"/>
      <c r="DH30" s="590"/>
      <c r="DI30" s="590"/>
      <c r="DJ30" s="590"/>
      <c r="DK30" s="590"/>
      <c r="DL30" s="590"/>
      <c r="DM30" s="590"/>
      <c r="DN30" s="590"/>
      <c r="DO30" s="590"/>
      <c r="DP30" s="590"/>
      <c r="DQ30" s="590"/>
      <c r="DR30" s="590"/>
      <c r="DS30" s="591"/>
      <c r="DT30" s="589"/>
      <c r="DU30" s="590"/>
      <c r="DV30" s="590"/>
      <c r="DW30" s="590"/>
      <c r="DX30" s="590"/>
      <c r="DY30" s="590"/>
      <c r="DZ30" s="590"/>
      <c r="EA30" s="590"/>
      <c r="EB30" s="590"/>
      <c r="EC30" s="590"/>
      <c r="ED30" s="590"/>
      <c r="EE30" s="590"/>
      <c r="EF30" s="591"/>
      <c r="EG30" s="589"/>
      <c r="EH30" s="590"/>
      <c r="EI30" s="590"/>
      <c r="EJ30" s="590"/>
      <c r="EK30" s="590"/>
      <c r="EL30" s="590"/>
      <c r="EM30" s="590"/>
      <c r="EN30" s="590"/>
      <c r="EO30" s="590"/>
      <c r="EP30" s="590"/>
      <c r="EQ30" s="590"/>
      <c r="ER30" s="590"/>
      <c r="ES30" s="591"/>
      <c r="ET30" s="589"/>
      <c r="EU30" s="590"/>
      <c r="EV30" s="590"/>
      <c r="EW30" s="590"/>
      <c r="EX30" s="590"/>
      <c r="EY30" s="590"/>
      <c r="EZ30" s="590"/>
      <c r="FA30" s="590"/>
      <c r="FB30" s="590"/>
      <c r="FC30" s="590"/>
      <c r="FD30" s="590"/>
      <c r="FE30" s="590"/>
      <c r="FF30" s="591"/>
      <c r="FI30" s="269"/>
    </row>
    <row r="31" spans="1:165" ht="12.75" customHeight="1">
      <c r="A31" s="607" t="s">
        <v>159</v>
      </c>
      <c r="B31" s="607"/>
      <c r="C31" s="607"/>
      <c r="D31" s="607"/>
      <c r="E31" s="607"/>
      <c r="F31" s="607"/>
      <c r="G31" s="607"/>
      <c r="H31" s="608"/>
      <c r="I31" s="630" t="s">
        <v>152</v>
      </c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631"/>
      <c r="AR31" s="631"/>
      <c r="AS31" s="631"/>
      <c r="AT31" s="631"/>
      <c r="AU31" s="631"/>
      <c r="AV31" s="631"/>
      <c r="AW31" s="631"/>
      <c r="AX31" s="631"/>
      <c r="AY31" s="631"/>
      <c r="AZ31" s="631"/>
      <c r="BA31" s="631"/>
      <c r="BB31" s="631"/>
      <c r="BC31" s="631"/>
      <c r="BD31" s="631"/>
      <c r="BE31" s="631"/>
      <c r="BF31" s="631"/>
      <c r="BG31" s="631"/>
      <c r="BH31" s="631"/>
      <c r="BI31" s="631"/>
      <c r="BJ31" s="631"/>
      <c r="BK31" s="631"/>
      <c r="BL31" s="631"/>
      <c r="BM31" s="631"/>
      <c r="BN31" s="631"/>
      <c r="BO31" s="631"/>
      <c r="BP31" s="631"/>
      <c r="BQ31" s="631"/>
      <c r="BR31" s="631"/>
      <c r="BS31" s="631"/>
      <c r="BT31" s="631"/>
      <c r="BU31" s="631"/>
      <c r="BV31" s="631"/>
      <c r="BW31" s="631"/>
      <c r="BX31" s="631"/>
      <c r="BY31" s="631"/>
      <c r="BZ31" s="631"/>
      <c r="CA31" s="631"/>
      <c r="CB31" s="631"/>
      <c r="CC31" s="631"/>
      <c r="CD31" s="631"/>
      <c r="CE31" s="631"/>
      <c r="CF31" s="631"/>
      <c r="CG31" s="631"/>
      <c r="CH31" s="631"/>
      <c r="CI31" s="631"/>
      <c r="CJ31" s="631"/>
      <c r="CK31" s="631"/>
      <c r="CL31" s="631"/>
      <c r="CM31" s="631"/>
      <c r="CN31" s="611" t="s">
        <v>160</v>
      </c>
      <c r="CO31" s="607"/>
      <c r="CP31" s="607"/>
      <c r="CQ31" s="607"/>
      <c r="CR31" s="607"/>
      <c r="CS31" s="607"/>
      <c r="CT31" s="607"/>
      <c r="CU31" s="608"/>
      <c r="CV31" s="612" t="s">
        <v>21</v>
      </c>
      <c r="CW31" s="607"/>
      <c r="CX31" s="607"/>
      <c r="CY31" s="607"/>
      <c r="CZ31" s="607"/>
      <c r="DA31" s="607"/>
      <c r="DB31" s="607"/>
      <c r="DC31" s="607"/>
      <c r="DD31" s="607"/>
      <c r="DE31" s="608"/>
      <c r="DF31" s="297"/>
      <c r="DG31" s="589"/>
      <c r="DH31" s="590"/>
      <c r="DI31" s="590"/>
      <c r="DJ31" s="590"/>
      <c r="DK31" s="590"/>
      <c r="DL31" s="590"/>
      <c r="DM31" s="590"/>
      <c r="DN31" s="590"/>
      <c r="DO31" s="590"/>
      <c r="DP31" s="590"/>
      <c r="DQ31" s="590"/>
      <c r="DR31" s="590"/>
      <c r="DS31" s="591"/>
      <c r="DT31" s="589"/>
      <c r="DU31" s="590"/>
      <c r="DV31" s="590"/>
      <c r="DW31" s="590"/>
      <c r="DX31" s="590"/>
      <c r="DY31" s="590"/>
      <c r="DZ31" s="590"/>
      <c r="EA31" s="590"/>
      <c r="EB31" s="590"/>
      <c r="EC31" s="590"/>
      <c r="ED31" s="590"/>
      <c r="EE31" s="590"/>
      <c r="EF31" s="591"/>
      <c r="EG31" s="589"/>
      <c r="EH31" s="590"/>
      <c r="EI31" s="590"/>
      <c r="EJ31" s="590"/>
      <c r="EK31" s="590"/>
      <c r="EL31" s="590"/>
      <c r="EM31" s="590"/>
      <c r="EN31" s="590"/>
      <c r="EO31" s="590"/>
      <c r="EP31" s="590"/>
      <c r="EQ31" s="590"/>
      <c r="ER31" s="590"/>
      <c r="ES31" s="591"/>
      <c r="ET31" s="589"/>
      <c r="EU31" s="590"/>
      <c r="EV31" s="590"/>
      <c r="EW31" s="590"/>
      <c r="EX31" s="590"/>
      <c r="EY31" s="590"/>
      <c r="EZ31" s="590"/>
      <c r="FA31" s="590"/>
      <c r="FB31" s="590"/>
      <c r="FC31" s="590"/>
      <c r="FD31" s="590"/>
      <c r="FE31" s="590"/>
      <c r="FF31" s="591"/>
      <c r="FI31" s="269"/>
    </row>
    <row r="32" spans="1:165" ht="12.75" customHeight="1">
      <c r="A32" s="607" t="s">
        <v>161</v>
      </c>
      <c r="B32" s="607"/>
      <c r="C32" s="607"/>
      <c r="D32" s="607"/>
      <c r="E32" s="607"/>
      <c r="F32" s="607"/>
      <c r="G32" s="607"/>
      <c r="H32" s="608"/>
      <c r="I32" s="640" t="s">
        <v>162</v>
      </c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641"/>
      <c r="AS32" s="641"/>
      <c r="AT32" s="641"/>
      <c r="AU32" s="641"/>
      <c r="AV32" s="641"/>
      <c r="AW32" s="641"/>
      <c r="AX32" s="641"/>
      <c r="AY32" s="641"/>
      <c r="AZ32" s="641"/>
      <c r="BA32" s="641"/>
      <c r="BB32" s="641"/>
      <c r="BC32" s="641"/>
      <c r="BD32" s="641"/>
      <c r="BE32" s="641"/>
      <c r="BF32" s="641"/>
      <c r="BG32" s="641"/>
      <c r="BH32" s="641"/>
      <c r="BI32" s="641"/>
      <c r="BJ32" s="641"/>
      <c r="BK32" s="641"/>
      <c r="BL32" s="641"/>
      <c r="BM32" s="641"/>
      <c r="BN32" s="641"/>
      <c r="BO32" s="641"/>
      <c r="BP32" s="641"/>
      <c r="BQ32" s="641"/>
      <c r="BR32" s="641"/>
      <c r="BS32" s="641"/>
      <c r="BT32" s="641"/>
      <c r="BU32" s="641"/>
      <c r="BV32" s="641"/>
      <c r="BW32" s="641"/>
      <c r="BX32" s="641"/>
      <c r="BY32" s="641"/>
      <c r="BZ32" s="641"/>
      <c r="CA32" s="641"/>
      <c r="CB32" s="641"/>
      <c r="CC32" s="641"/>
      <c r="CD32" s="641"/>
      <c r="CE32" s="641"/>
      <c r="CF32" s="641"/>
      <c r="CG32" s="641"/>
      <c r="CH32" s="641"/>
      <c r="CI32" s="641"/>
      <c r="CJ32" s="641"/>
      <c r="CK32" s="641"/>
      <c r="CL32" s="641"/>
      <c r="CM32" s="641"/>
      <c r="CN32" s="611" t="s">
        <v>163</v>
      </c>
      <c r="CO32" s="607"/>
      <c r="CP32" s="607"/>
      <c r="CQ32" s="607"/>
      <c r="CR32" s="607"/>
      <c r="CS32" s="607"/>
      <c r="CT32" s="607"/>
      <c r="CU32" s="608"/>
      <c r="CV32" s="612" t="s">
        <v>21</v>
      </c>
      <c r="CW32" s="607"/>
      <c r="CX32" s="607"/>
      <c r="CY32" s="607"/>
      <c r="CZ32" s="607"/>
      <c r="DA32" s="607"/>
      <c r="DB32" s="607"/>
      <c r="DC32" s="607"/>
      <c r="DD32" s="607"/>
      <c r="DE32" s="608"/>
      <c r="DF32" s="297"/>
      <c r="DG32" s="589"/>
      <c r="DH32" s="590"/>
      <c r="DI32" s="590"/>
      <c r="DJ32" s="590"/>
      <c r="DK32" s="590"/>
      <c r="DL32" s="590"/>
      <c r="DM32" s="590"/>
      <c r="DN32" s="590"/>
      <c r="DO32" s="590"/>
      <c r="DP32" s="590"/>
      <c r="DQ32" s="590"/>
      <c r="DR32" s="590"/>
      <c r="DS32" s="591"/>
      <c r="DT32" s="589"/>
      <c r="DU32" s="590"/>
      <c r="DV32" s="590"/>
      <c r="DW32" s="590"/>
      <c r="DX32" s="590"/>
      <c r="DY32" s="590"/>
      <c r="DZ32" s="590"/>
      <c r="EA32" s="590"/>
      <c r="EB32" s="590"/>
      <c r="EC32" s="590"/>
      <c r="ED32" s="590"/>
      <c r="EE32" s="590"/>
      <c r="EF32" s="591"/>
      <c r="EG32" s="589"/>
      <c r="EH32" s="590"/>
      <c r="EI32" s="590"/>
      <c r="EJ32" s="590"/>
      <c r="EK32" s="590"/>
      <c r="EL32" s="590"/>
      <c r="EM32" s="590"/>
      <c r="EN32" s="590"/>
      <c r="EO32" s="590"/>
      <c r="EP32" s="590"/>
      <c r="EQ32" s="590"/>
      <c r="ER32" s="590"/>
      <c r="ES32" s="591"/>
      <c r="ET32" s="589"/>
      <c r="EU32" s="590"/>
      <c r="EV32" s="590"/>
      <c r="EW32" s="590"/>
      <c r="EX32" s="590"/>
      <c r="EY32" s="590"/>
      <c r="EZ32" s="590"/>
      <c r="FA32" s="590"/>
      <c r="FB32" s="590"/>
      <c r="FC32" s="590"/>
      <c r="FD32" s="590"/>
      <c r="FE32" s="590"/>
      <c r="FF32" s="591"/>
      <c r="FI32" s="269"/>
    </row>
    <row r="33" spans="1:165" ht="12" thickBot="1">
      <c r="A33" s="607" t="s">
        <v>164</v>
      </c>
      <c r="B33" s="607"/>
      <c r="C33" s="607"/>
      <c r="D33" s="607"/>
      <c r="E33" s="607"/>
      <c r="F33" s="607"/>
      <c r="G33" s="607"/>
      <c r="H33" s="608"/>
      <c r="I33" s="640" t="s">
        <v>165</v>
      </c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1"/>
      <c r="AK33" s="641"/>
      <c r="AL33" s="641"/>
      <c r="AM33" s="641"/>
      <c r="AN33" s="641"/>
      <c r="AO33" s="641"/>
      <c r="AP33" s="641"/>
      <c r="AQ33" s="641"/>
      <c r="AR33" s="641"/>
      <c r="AS33" s="641"/>
      <c r="AT33" s="641"/>
      <c r="AU33" s="641"/>
      <c r="AV33" s="641"/>
      <c r="AW33" s="641"/>
      <c r="AX33" s="641"/>
      <c r="AY33" s="641"/>
      <c r="AZ33" s="641"/>
      <c r="BA33" s="641"/>
      <c r="BB33" s="641"/>
      <c r="BC33" s="641"/>
      <c r="BD33" s="641"/>
      <c r="BE33" s="641"/>
      <c r="BF33" s="641"/>
      <c r="BG33" s="641"/>
      <c r="BH33" s="641"/>
      <c r="BI33" s="641"/>
      <c r="BJ33" s="641"/>
      <c r="BK33" s="641"/>
      <c r="BL33" s="641"/>
      <c r="BM33" s="641"/>
      <c r="BN33" s="641"/>
      <c r="BO33" s="641"/>
      <c r="BP33" s="641"/>
      <c r="BQ33" s="641"/>
      <c r="BR33" s="641"/>
      <c r="BS33" s="641"/>
      <c r="BT33" s="641"/>
      <c r="BU33" s="641"/>
      <c r="BV33" s="641"/>
      <c r="BW33" s="641"/>
      <c r="BX33" s="641"/>
      <c r="BY33" s="641"/>
      <c r="BZ33" s="641"/>
      <c r="CA33" s="641"/>
      <c r="CB33" s="641"/>
      <c r="CC33" s="641"/>
      <c r="CD33" s="641"/>
      <c r="CE33" s="641"/>
      <c r="CF33" s="641"/>
      <c r="CG33" s="641"/>
      <c r="CH33" s="641"/>
      <c r="CI33" s="641"/>
      <c r="CJ33" s="641"/>
      <c r="CK33" s="641"/>
      <c r="CL33" s="641"/>
      <c r="CM33" s="641"/>
      <c r="CN33" s="642" t="s">
        <v>166</v>
      </c>
      <c r="CO33" s="643"/>
      <c r="CP33" s="643"/>
      <c r="CQ33" s="643"/>
      <c r="CR33" s="643"/>
      <c r="CS33" s="643"/>
      <c r="CT33" s="643"/>
      <c r="CU33" s="644"/>
      <c r="CV33" s="645" t="s">
        <v>21</v>
      </c>
      <c r="CW33" s="643"/>
      <c r="CX33" s="643"/>
      <c r="CY33" s="643"/>
      <c r="CZ33" s="643"/>
      <c r="DA33" s="643"/>
      <c r="DB33" s="643"/>
      <c r="DC33" s="643"/>
      <c r="DD33" s="643"/>
      <c r="DE33" s="644"/>
      <c r="DF33" s="298"/>
      <c r="DG33" s="646">
        <f>DG34+DG35</f>
        <v>260144.78</v>
      </c>
      <c r="DH33" s="647"/>
      <c r="DI33" s="647"/>
      <c r="DJ33" s="647"/>
      <c r="DK33" s="647"/>
      <c r="DL33" s="647"/>
      <c r="DM33" s="647"/>
      <c r="DN33" s="647"/>
      <c r="DO33" s="647"/>
      <c r="DP33" s="647"/>
      <c r="DQ33" s="647"/>
      <c r="DR33" s="647"/>
      <c r="DS33" s="648"/>
      <c r="DT33" s="646">
        <f>DT34+DT35</f>
        <v>268888.49</v>
      </c>
      <c r="DU33" s="647"/>
      <c r="DV33" s="647"/>
      <c r="DW33" s="647"/>
      <c r="DX33" s="647"/>
      <c r="DY33" s="647"/>
      <c r="DZ33" s="647"/>
      <c r="EA33" s="647"/>
      <c r="EB33" s="647"/>
      <c r="EC33" s="647"/>
      <c r="ED33" s="647"/>
      <c r="EE33" s="647"/>
      <c r="EF33" s="648"/>
      <c r="EG33" s="646">
        <f>EG34+EG35</f>
        <v>268888.49</v>
      </c>
      <c r="EH33" s="647"/>
      <c r="EI33" s="647"/>
      <c r="EJ33" s="647"/>
      <c r="EK33" s="647"/>
      <c r="EL33" s="647"/>
      <c r="EM33" s="647"/>
      <c r="EN33" s="647"/>
      <c r="EO33" s="647"/>
      <c r="EP33" s="647"/>
      <c r="EQ33" s="647"/>
      <c r="ER33" s="647"/>
      <c r="ES33" s="648"/>
      <c r="ET33" s="646">
        <f>ET34+ET35</f>
        <v>0</v>
      </c>
      <c r="EU33" s="647"/>
      <c r="EV33" s="647"/>
      <c r="EW33" s="647"/>
      <c r="EX33" s="647"/>
      <c r="EY33" s="647"/>
      <c r="EZ33" s="647"/>
      <c r="FA33" s="647"/>
      <c r="FB33" s="647"/>
      <c r="FC33" s="647"/>
      <c r="FD33" s="647"/>
      <c r="FE33" s="647"/>
      <c r="FF33" s="648"/>
      <c r="FI33" s="269"/>
    </row>
    <row r="34" spans="1:165" ht="24" customHeight="1">
      <c r="A34" s="607" t="s">
        <v>167</v>
      </c>
      <c r="B34" s="607"/>
      <c r="C34" s="607"/>
      <c r="D34" s="607"/>
      <c r="E34" s="607"/>
      <c r="F34" s="607"/>
      <c r="G34" s="607"/>
      <c r="H34" s="608"/>
      <c r="I34" s="630" t="s">
        <v>149</v>
      </c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631"/>
      <c r="AI34" s="631"/>
      <c r="AJ34" s="631"/>
      <c r="AK34" s="631"/>
      <c r="AL34" s="631"/>
      <c r="AM34" s="631"/>
      <c r="AN34" s="631"/>
      <c r="AO34" s="631"/>
      <c r="AP34" s="631"/>
      <c r="AQ34" s="631"/>
      <c r="AR34" s="631"/>
      <c r="AS34" s="631"/>
      <c r="AT34" s="631"/>
      <c r="AU34" s="631"/>
      <c r="AV34" s="631"/>
      <c r="AW34" s="631"/>
      <c r="AX34" s="631"/>
      <c r="AY34" s="631"/>
      <c r="AZ34" s="631"/>
      <c r="BA34" s="631"/>
      <c r="BB34" s="631"/>
      <c r="BC34" s="631"/>
      <c r="BD34" s="631"/>
      <c r="BE34" s="631"/>
      <c r="BF34" s="631"/>
      <c r="BG34" s="631"/>
      <c r="BH34" s="631"/>
      <c r="BI34" s="631"/>
      <c r="BJ34" s="631"/>
      <c r="BK34" s="631"/>
      <c r="BL34" s="631"/>
      <c r="BM34" s="631"/>
      <c r="BN34" s="631"/>
      <c r="BO34" s="631"/>
      <c r="BP34" s="631"/>
      <c r="BQ34" s="631"/>
      <c r="BR34" s="631"/>
      <c r="BS34" s="631"/>
      <c r="BT34" s="631"/>
      <c r="BU34" s="631"/>
      <c r="BV34" s="631"/>
      <c r="BW34" s="631"/>
      <c r="BX34" s="631"/>
      <c r="BY34" s="631"/>
      <c r="BZ34" s="631"/>
      <c r="CA34" s="631"/>
      <c r="CB34" s="631"/>
      <c r="CC34" s="631"/>
      <c r="CD34" s="631"/>
      <c r="CE34" s="631"/>
      <c r="CF34" s="631"/>
      <c r="CG34" s="631"/>
      <c r="CH34" s="631"/>
      <c r="CI34" s="631"/>
      <c r="CJ34" s="631"/>
      <c r="CK34" s="631"/>
      <c r="CL34" s="631"/>
      <c r="CM34" s="631"/>
      <c r="CN34" s="632" t="s">
        <v>168</v>
      </c>
      <c r="CO34" s="633"/>
      <c r="CP34" s="633"/>
      <c r="CQ34" s="633"/>
      <c r="CR34" s="633"/>
      <c r="CS34" s="633"/>
      <c r="CT34" s="633"/>
      <c r="CU34" s="634"/>
      <c r="CV34" s="635" t="s">
        <v>21</v>
      </c>
      <c r="CW34" s="633"/>
      <c r="CX34" s="633"/>
      <c r="CY34" s="633"/>
      <c r="CZ34" s="633"/>
      <c r="DA34" s="633"/>
      <c r="DB34" s="633"/>
      <c r="DC34" s="633"/>
      <c r="DD34" s="633"/>
      <c r="DE34" s="634"/>
      <c r="DF34" s="296"/>
      <c r="DG34" s="636">
        <f>вспомогательная!K137+вспомогательная!K152+вспомогательная!K174+вспомогательная!K192+вспомогательная!K210+вспомогательная!K231+вспомогательная!K272-8743.71</f>
        <v>260144.78</v>
      </c>
      <c r="DH34" s="637"/>
      <c r="DI34" s="637"/>
      <c r="DJ34" s="637"/>
      <c r="DK34" s="637"/>
      <c r="DL34" s="637"/>
      <c r="DM34" s="637"/>
      <c r="DN34" s="637"/>
      <c r="DO34" s="637"/>
      <c r="DP34" s="637"/>
      <c r="DQ34" s="637"/>
      <c r="DR34" s="637"/>
      <c r="DS34" s="638"/>
      <c r="DT34" s="636">
        <f>вспомогательная!L137+вспомогательная!L152+вспомогательная!L174+вспомогательная!L192+вспомогательная!L210+вспомогательная!L231+вспомогательная!L272</f>
        <v>268888.49</v>
      </c>
      <c r="DU34" s="637"/>
      <c r="DV34" s="637"/>
      <c r="DW34" s="637"/>
      <c r="DX34" s="637"/>
      <c r="DY34" s="637"/>
      <c r="DZ34" s="637"/>
      <c r="EA34" s="637"/>
      <c r="EB34" s="637"/>
      <c r="EC34" s="637"/>
      <c r="ED34" s="637"/>
      <c r="EE34" s="637"/>
      <c r="EF34" s="638"/>
      <c r="EG34" s="636">
        <f>вспомогательная!M137+вспомогательная!M152+вспомогательная!M174+вспомогательная!M192+вспомогательная!M210+вспомогательная!M231+вспомогательная!M272</f>
        <v>268888.49</v>
      </c>
      <c r="EH34" s="637"/>
      <c r="EI34" s="637"/>
      <c r="EJ34" s="637"/>
      <c r="EK34" s="637"/>
      <c r="EL34" s="637"/>
      <c r="EM34" s="637"/>
      <c r="EN34" s="637"/>
      <c r="EO34" s="637"/>
      <c r="EP34" s="637"/>
      <c r="EQ34" s="637"/>
      <c r="ER34" s="637"/>
      <c r="ES34" s="638"/>
      <c r="ET34" s="636"/>
      <c r="EU34" s="637"/>
      <c r="EV34" s="637"/>
      <c r="EW34" s="637"/>
      <c r="EX34" s="637"/>
      <c r="EY34" s="637"/>
      <c r="EZ34" s="637"/>
      <c r="FA34" s="637"/>
      <c r="FB34" s="637"/>
      <c r="FC34" s="637"/>
      <c r="FD34" s="637"/>
      <c r="FE34" s="637"/>
      <c r="FF34" s="639"/>
      <c r="FI34" s="269"/>
    </row>
    <row r="35" spans="1:165">
      <c r="A35" s="607" t="s">
        <v>169</v>
      </c>
      <c r="B35" s="607"/>
      <c r="C35" s="607"/>
      <c r="D35" s="607"/>
      <c r="E35" s="607"/>
      <c r="F35" s="607"/>
      <c r="G35" s="607"/>
      <c r="H35" s="608"/>
      <c r="I35" s="630" t="s">
        <v>170</v>
      </c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31"/>
      <c r="AB35" s="631"/>
      <c r="AC35" s="631"/>
      <c r="AD35" s="631"/>
      <c r="AE35" s="631"/>
      <c r="AF35" s="631"/>
      <c r="AG35" s="631"/>
      <c r="AH35" s="631"/>
      <c r="AI35" s="631"/>
      <c r="AJ35" s="631"/>
      <c r="AK35" s="631"/>
      <c r="AL35" s="631"/>
      <c r="AM35" s="631"/>
      <c r="AN35" s="631"/>
      <c r="AO35" s="631"/>
      <c r="AP35" s="631"/>
      <c r="AQ35" s="631"/>
      <c r="AR35" s="631"/>
      <c r="AS35" s="631"/>
      <c r="AT35" s="631"/>
      <c r="AU35" s="631"/>
      <c r="AV35" s="631"/>
      <c r="AW35" s="631"/>
      <c r="AX35" s="631"/>
      <c r="AY35" s="631"/>
      <c r="AZ35" s="631"/>
      <c r="BA35" s="631"/>
      <c r="BB35" s="631"/>
      <c r="BC35" s="631"/>
      <c r="BD35" s="631"/>
      <c r="BE35" s="631"/>
      <c r="BF35" s="631"/>
      <c r="BG35" s="631"/>
      <c r="BH35" s="631"/>
      <c r="BI35" s="631"/>
      <c r="BJ35" s="631"/>
      <c r="BK35" s="631"/>
      <c r="BL35" s="631"/>
      <c r="BM35" s="631"/>
      <c r="BN35" s="631"/>
      <c r="BO35" s="631"/>
      <c r="BP35" s="631"/>
      <c r="BQ35" s="631"/>
      <c r="BR35" s="631"/>
      <c r="BS35" s="631"/>
      <c r="BT35" s="631"/>
      <c r="BU35" s="631"/>
      <c r="BV35" s="631"/>
      <c r="BW35" s="631"/>
      <c r="BX35" s="631"/>
      <c r="BY35" s="631"/>
      <c r="BZ35" s="631"/>
      <c r="CA35" s="631"/>
      <c r="CB35" s="631"/>
      <c r="CC35" s="631"/>
      <c r="CD35" s="631"/>
      <c r="CE35" s="631"/>
      <c r="CF35" s="631"/>
      <c r="CG35" s="631"/>
      <c r="CH35" s="631"/>
      <c r="CI35" s="631"/>
      <c r="CJ35" s="631"/>
      <c r="CK35" s="631"/>
      <c r="CL35" s="631"/>
      <c r="CM35" s="631"/>
      <c r="CN35" s="611" t="s">
        <v>171</v>
      </c>
      <c r="CO35" s="607"/>
      <c r="CP35" s="607"/>
      <c r="CQ35" s="607"/>
      <c r="CR35" s="607"/>
      <c r="CS35" s="607"/>
      <c r="CT35" s="607"/>
      <c r="CU35" s="608"/>
      <c r="CV35" s="612" t="s">
        <v>21</v>
      </c>
      <c r="CW35" s="607"/>
      <c r="CX35" s="607"/>
      <c r="CY35" s="607"/>
      <c r="CZ35" s="607"/>
      <c r="DA35" s="607"/>
      <c r="DB35" s="607"/>
      <c r="DC35" s="607"/>
      <c r="DD35" s="607"/>
      <c r="DE35" s="608"/>
      <c r="DF35" s="297"/>
      <c r="DG35" s="589"/>
      <c r="DH35" s="590"/>
      <c r="DI35" s="590"/>
      <c r="DJ35" s="590"/>
      <c r="DK35" s="590"/>
      <c r="DL35" s="590"/>
      <c r="DM35" s="590"/>
      <c r="DN35" s="590"/>
      <c r="DO35" s="590"/>
      <c r="DP35" s="590"/>
      <c r="DQ35" s="590"/>
      <c r="DR35" s="590"/>
      <c r="DS35" s="591"/>
      <c r="DT35" s="589"/>
      <c r="DU35" s="590"/>
      <c r="DV35" s="590"/>
      <c r="DW35" s="590"/>
      <c r="DX35" s="590"/>
      <c r="DY35" s="590"/>
      <c r="DZ35" s="590"/>
      <c r="EA35" s="590"/>
      <c r="EB35" s="590"/>
      <c r="EC35" s="590"/>
      <c r="ED35" s="590"/>
      <c r="EE35" s="590"/>
      <c r="EF35" s="591"/>
      <c r="EG35" s="589"/>
      <c r="EH35" s="590"/>
      <c r="EI35" s="590"/>
      <c r="EJ35" s="590"/>
      <c r="EK35" s="590"/>
      <c r="EL35" s="590"/>
      <c r="EM35" s="590"/>
      <c r="EN35" s="590"/>
      <c r="EO35" s="590"/>
      <c r="EP35" s="590"/>
      <c r="EQ35" s="590"/>
      <c r="ER35" s="590"/>
      <c r="ES35" s="591"/>
      <c r="ET35" s="589"/>
      <c r="EU35" s="590"/>
      <c r="EV35" s="590"/>
      <c r="EW35" s="590"/>
      <c r="EX35" s="590"/>
      <c r="EY35" s="590"/>
      <c r="EZ35" s="590"/>
      <c r="FA35" s="590"/>
      <c r="FB35" s="590"/>
      <c r="FC35" s="590"/>
      <c r="FD35" s="590"/>
      <c r="FE35" s="590"/>
      <c r="FF35" s="592"/>
      <c r="FI35" s="269"/>
    </row>
    <row r="36" spans="1:165" ht="24" customHeight="1">
      <c r="A36" s="607" t="s">
        <v>12</v>
      </c>
      <c r="B36" s="607"/>
      <c r="C36" s="607"/>
      <c r="D36" s="607"/>
      <c r="E36" s="607"/>
      <c r="F36" s="607"/>
      <c r="G36" s="607"/>
      <c r="H36" s="608"/>
      <c r="I36" s="609" t="s">
        <v>172</v>
      </c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0"/>
      <c r="BQ36" s="610"/>
      <c r="BR36" s="610"/>
      <c r="BS36" s="610"/>
      <c r="BT36" s="610"/>
      <c r="BU36" s="610"/>
      <c r="BV36" s="610"/>
      <c r="BW36" s="610"/>
      <c r="BX36" s="610"/>
      <c r="BY36" s="610"/>
      <c r="BZ36" s="610"/>
      <c r="CA36" s="610"/>
      <c r="CB36" s="610"/>
      <c r="CC36" s="610"/>
      <c r="CD36" s="610"/>
      <c r="CE36" s="610"/>
      <c r="CF36" s="610"/>
      <c r="CG36" s="610"/>
      <c r="CH36" s="610"/>
      <c r="CI36" s="610"/>
      <c r="CJ36" s="610"/>
      <c r="CK36" s="610"/>
      <c r="CL36" s="610"/>
      <c r="CM36" s="610"/>
      <c r="CN36" s="611" t="s">
        <v>173</v>
      </c>
      <c r="CO36" s="607"/>
      <c r="CP36" s="607"/>
      <c r="CQ36" s="607"/>
      <c r="CR36" s="607"/>
      <c r="CS36" s="607"/>
      <c r="CT36" s="607"/>
      <c r="CU36" s="608"/>
      <c r="CV36" s="612" t="s">
        <v>21</v>
      </c>
      <c r="CW36" s="607"/>
      <c r="CX36" s="607"/>
      <c r="CY36" s="607"/>
      <c r="CZ36" s="607"/>
      <c r="DA36" s="607"/>
      <c r="DB36" s="607"/>
      <c r="DC36" s="607"/>
      <c r="DD36" s="607"/>
      <c r="DE36" s="608"/>
      <c r="DF36" s="297"/>
      <c r="DG36" s="613">
        <f>DG37+DG40+DG41</f>
        <v>3017497.2199999997</v>
      </c>
      <c r="DH36" s="614"/>
      <c r="DI36" s="614"/>
      <c r="DJ36" s="614"/>
      <c r="DK36" s="614"/>
      <c r="DL36" s="614"/>
      <c r="DM36" s="614"/>
      <c r="DN36" s="614"/>
      <c r="DO36" s="614"/>
      <c r="DP36" s="614"/>
      <c r="DQ36" s="614"/>
      <c r="DR36" s="614"/>
      <c r="DS36" s="615"/>
      <c r="DT36" s="613">
        <f>DT37+DT40+DT41+DT38</f>
        <v>4534443.7300000004</v>
      </c>
      <c r="DU36" s="614"/>
      <c r="DV36" s="614"/>
      <c r="DW36" s="614"/>
      <c r="DX36" s="614"/>
      <c r="DY36" s="614"/>
      <c r="DZ36" s="614"/>
      <c r="EA36" s="614"/>
      <c r="EB36" s="614"/>
      <c r="EC36" s="614"/>
      <c r="ED36" s="614"/>
      <c r="EE36" s="614"/>
      <c r="EF36" s="615"/>
      <c r="EG36" s="613">
        <f>EG37+EG40+EG41+EG38+EG39</f>
        <v>3916755.7</v>
      </c>
      <c r="EH36" s="614"/>
      <c r="EI36" s="614"/>
      <c r="EJ36" s="614"/>
      <c r="EK36" s="614"/>
      <c r="EL36" s="614"/>
      <c r="EM36" s="614"/>
      <c r="EN36" s="614"/>
      <c r="EO36" s="614"/>
      <c r="EP36" s="614"/>
      <c r="EQ36" s="614"/>
      <c r="ER36" s="614"/>
      <c r="ES36" s="615"/>
      <c r="ET36" s="613">
        <f>ET37+ET40+ET41</f>
        <v>0</v>
      </c>
      <c r="EU36" s="614"/>
      <c r="EV36" s="614"/>
      <c r="EW36" s="614"/>
      <c r="EX36" s="614"/>
      <c r="EY36" s="614"/>
      <c r="EZ36" s="614"/>
      <c r="FA36" s="614"/>
      <c r="FB36" s="614"/>
      <c r="FC36" s="614"/>
      <c r="FD36" s="614"/>
      <c r="FE36" s="614"/>
      <c r="FF36" s="615"/>
    </row>
    <row r="37" spans="1:165" ht="15">
      <c r="A37" s="593"/>
      <c r="B37" s="593"/>
      <c r="C37" s="593"/>
      <c r="D37" s="593"/>
      <c r="E37" s="593"/>
      <c r="F37" s="593"/>
      <c r="G37" s="593"/>
      <c r="H37" s="594"/>
      <c r="I37" s="596" t="s">
        <v>174</v>
      </c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  <c r="AO37" s="597"/>
      <c r="AP37" s="597"/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597"/>
      <c r="BH37" s="597"/>
      <c r="BI37" s="597"/>
      <c r="BJ37" s="597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  <c r="BX37" s="597"/>
      <c r="BY37" s="597"/>
      <c r="BZ37" s="597"/>
      <c r="CA37" s="597"/>
      <c r="CB37" s="597"/>
      <c r="CC37" s="597"/>
      <c r="CD37" s="597"/>
      <c r="CE37" s="597"/>
      <c r="CF37" s="597"/>
      <c r="CG37" s="597"/>
      <c r="CH37" s="597"/>
      <c r="CI37" s="597"/>
      <c r="CJ37" s="597"/>
      <c r="CK37" s="597"/>
      <c r="CL37" s="597"/>
      <c r="CM37" s="598"/>
      <c r="CN37" s="599" t="s">
        <v>175</v>
      </c>
      <c r="CO37" s="593"/>
      <c r="CP37" s="593"/>
      <c r="CQ37" s="593"/>
      <c r="CR37" s="593"/>
      <c r="CS37" s="593"/>
      <c r="CT37" s="593"/>
      <c r="CU37" s="594"/>
      <c r="CV37" s="603" t="s">
        <v>21</v>
      </c>
      <c r="CW37" s="593"/>
      <c r="CX37" s="593"/>
      <c r="CY37" s="593"/>
      <c r="CZ37" s="593"/>
      <c r="DA37" s="593"/>
      <c r="DB37" s="593"/>
      <c r="DC37" s="593"/>
      <c r="DD37" s="593"/>
      <c r="DE37" s="594"/>
      <c r="DF37" s="388" t="s">
        <v>570</v>
      </c>
      <c r="DG37" s="581">
        <f>DG14</f>
        <v>3017497.2199999997</v>
      </c>
      <c r="DH37" s="628"/>
      <c r="DI37" s="628"/>
      <c r="DJ37" s="628"/>
      <c r="DK37" s="628"/>
      <c r="DL37" s="628"/>
      <c r="DM37" s="628"/>
      <c r="DN37" s="628"/>
      <c r="DO37" s="628"/>
      <c r="DP37" s="628"/>
      <c r="DQ37" s="628"/>
      <c r="DR37" s="628"/>
      <c r="DS37" s="629"/>
      <c r="DT37" s="581"/>
      <c r="DU37" s="628"/>
      <c r="DV37" s="628"/>
      <c r="DW37" s="628"/>
      <c r="DX37" s="628"/>
      <c r="DY37" s="628"/>
      <c r="DZ37" s="628"/>
      <c r="EA37" s="628"/>
      <c r="EB37" s="628"/>
      <c r="EC37" s="628"/>
      <c r="ED37" s="628"/>
      <c r="EE37" s="628"/>
      <c r="EF37" s="629"/>
      <c r="EG37" s="581"/>
      <c r="EH37" s="628"/>
      <c r="EI37" s="628"/>
      <c r="EJ37" s="628"/>
      <c r="EK37" s="628"/>
      <c r="EL37" s="628"/>
      <c r="EM37" s="628"/>
      <c r="EN37" s="628"/>
      <c r="EO37" s="628"/>
      <c r="EP37" s="628"/>
      <c r="EQ37" s="628"/>
      <c r="ER37" s="628"/>
      <c r="ES37" s="629"/>
      <c r="ET37" s="581"/>
      <c r="EU37" s="582"/>
      <c r="EV37" s="582"/>
      <c r="EW37" s="582"/>
      <c r="EX37" s="582"/>
      <c r="EY37" s="582"/>
      <c r="EZ37" s="582"/>
      <c r="FA37" s="582"/>
      <c r="FB37" s="582"/>
      <c r="FC37" s="582"/>
      <c r="FD37" s="582"/>
      <c r="FE37" s="582"/>
      <c r="FF37" s="583"/>
    </row>
    <row r="38" spans="1:165" s="390" customFormat="1" ht="15">
      <c r="A38" s="616"/>
      <c r="B38" s="616"/>
      <c r="C38" s="616"/>
      <c r="D38" s="616"/>
      <c r="E38" s="616"/>
      <c r="F38" s="616"/>
      <c r="G38" s="616"/>
      <c r="H38" s="617"/>
      <c r="I38" s="433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618"/>
      <c r="CO38" s="616"/>
      <c r="CP38" s="616"/>
      <c r="CQ38" s="616"/>
      <c r="CR38" s="616"/>
      <c r="CS38" s="616"/>
      <c r="CT38" s="616"/>
      <c r="CU38" s="617"/>
      <c r="CV38" s="620"/>
      <c r="CW38" s="616"/>
      <c r="CX38" s="616"/>
      <c r="CY38" s="616"/>
      <c r="CZ38" s="616"/>
      <c r="DA38" s="616"/>
      <c r="DB38" s="616"/>
      <c r="DC38" s="616"/>
      <c r="DD38" s="616"/>
      <c r="DE38" s="617"/>
      <c r="DF38" s="435" t="s">
        <v>571</v>
      </c>
      <c r="DG38" s="581"/>
      <c r="DH38" s="628"/>
      <c r="DI38" s="628"/>
      <c r="DJ38" s="628"/>
      <c r="DK38" s="628"/>
      <c r="DL38" s="628"/>
      <c r="DM38" s="628"/>
      <c r="DN38" s="628"/>
      <c r="DO38" s="628"/>
      <c r="DP38" s="628"/>
      <c r="DQ38" s="628"/>
      <c r="DR38" s="628"/>
      <c r="DS38" s="629"/>
      <c r="DT38" s="581">
        <f>DT14</f>
        <v>4534443.7300000004</v>
      </c>
      <c r="DU38" s="628"/>
      <c r="DV38" s="628"/>
      <c r="DW38" s="628"/>
      <c r="DX38" s="628"/>
      <c r="DY38" s="628"/>
      <c r="DZ38" s="628"/>
      <c r="EA38" s="628"/>
      <c r="EB38" s="628"/>
      <c r="EC38" s="628"/>
      <c r="ED38" s="628"/>
      <c r="EE38" s="628"/>
      <c r="EF38" s="629"/>
      <c r="EG38" s="581"/>
      <c r="EH38" s="628"/>
      <c r="EI38" s="628"/>
      <c r="EJ38" s="628"/>
      <c r="EK38" s="628"/>
      <c r="EL38" s="628"/>
      <c r="EM38" s="628"/>
      <c r="EN38" s="628"/>
      <c r="EO38" s="628"/>
      <c r="EP38" s="628"/>
      <c r="EQ38" s="628"/>
      <c r="ER38" s="628"/>
      <c r="ES38" s="629"/>
      <c r="ET38" s="622"/>
      <c r="EU38" s="623"/>
      <c r="EV38" s="623"/>
      <c r="EW38" s="623"/>
      <c r="EX38" s="623"/>
      <c r="EY38" s="623"/>
      <c r="EZ38" s="623"/>
      <c r="FA38" s="623"/>
      <c r="FB38" s="623"/>
      <c r="FC38" s="623"/>
      <c r="FD38" s="623"/>
      <c r="FE38" s="623"/>
      <c r="FF38" s="624"/>
    </row>
    <row r="39" spans="1:165" ht="15">
      <c r="A39" s="575"/>
      <c r="B39" s="575"/>
      <c r="C39" s="575"/>
      <c r="D39" s="575"/>
      <c r="E39" s="575"/>
      <c r="F39" s="575"/>
      <c r="G39" s="575"/>
      <c r="H39" s="595"/>
      <c r="I39" s="587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8"/>
      <c r="AH39" s="588"/>
      <c r="AI39" s="588"/>
      <c r="AJ39" s="588"/>
      <c r="AK39" s="588"/>
      <c r="AL39" s="588"/>
      <c r="AM39" s="588"/>
      <c r="AN39" s="588"/>
      <c r="AO39" s="588"/>
      <c r="AP39" s="588"/>
      <c r="AQ39" s="588"/>
      <c r="AR39" s="588"/>
      <c r="AS39" s="588"/>
      <c r="AT39" s="588"/>
      <c r="AU39" s="588"/>
      <c r="AV39" s="588"/>
      <c r="AW39" s="588"/>
      <c r="AX39" s="588"/>
      <c r="AY39" s="588"/>
      <c r="AZ39" s="588"/>
      <c r="BA39" s="588"/>
      <c r="BB39" s="588"/>
      <c r="BC39" s="588"/>
      <c r="BD39" s="588"/>
      <c r="BE39" s="588"/>
      <c r="BF39" s="588"/>
      <c r="BG39" s="588"/>
      <c r="BH39" s="588"/>
      <c r="BI39" s="588"/>
      <c r="BJ39" s="588"/>
      <c r="BK39" s="588"/>
      <c r="BL39" s="588"/>
      <c r="BM39" s="588"/>
      <c r="BN39" s="588"/>
      <c r="BO39" s="588"/>
      <c r="BP39" s="588"/>
      <c r="BQ39" s="588"/>
      <c r="BR39" s="588"/>
      <c r="BS39" s="588"/>
      <c r="BT39" s="588"/>
      <c r="BU39" s="588"/>
      <c r="BV39" s="588"/>
      <c r="BW39" s="588"/>
      <c r="BX39" s="588"/>
      <c r="BY39" s="588"/>
      <c r="BZ39" s="588"/>
      <c r="CA39" s="588"/>
      <c r="CB39" s="588"/>
      <c r="CC39" s="588"/>
      <c r="CD39" s="588"/>
      <c r="CE39" s="588"/>
      <c r="CF39" s="588"/>
      <c r="CG39" s="588"/>
      <c r="CH39" s="588"/>
      <c r="CI39" s="588"/>
      <c r="CJ39" s="588"/>
      <c r="CK39" s="588"/>
      <c r="CL39" s="588"/>
      <c r="CM39" s="588"/>
      <c r="CN39" s="619"/>
      <c r="CO39" s="575"/>
      <c r="CP39" s="575"/>
      <c r="CQ39" s="575"/>
      <c r="CR39" s="575"/>
      <c r="CS39" s="575"/>
      <c r="CT39" s="575"/>
      <c r="CU39" s="595"/>
      <c r="CV39" s="621"/>
      <c r="CW39" s="575"/>
      <c r="CX39" s="575"/>
      <c r="CY39" s="575"/>
      <c r="CZ39" s="575"/>
      <c r="DA39" s="575"/>
      <c r="DB39" s="575"/>
      <c r="DC39" s="575"/>
      <c r="DD39" s="575"/>
      <c r="DE39" s="595"/>
      <c r="DF39" s="389" t="s">
        <v>572</v>
      </c>
      <c r="DG39" s="581"/>
      <c r="DH39" s="628"/>
      <c r="DI39" s="628"/>
      <c r="DJ39" s="628"/>
      <c r="DK39" s="628"/>
      <c r="DL39" s="628"/>
      <c r="DM39" s="628"/>
      <c r="DN39" s="628"/>
      <c r="DO39" s="628"/>
      <c r="DP39" s="628"/>
      <c r="DQ39" s="628"/>
      <c r="DR39" s="628"/>
      <c r="DS39" s="629"/>
      <c r="DT39" s="581"/>
      <c r="DU39" s="628"/>
      <c r="DV39" s="628"/>
      <c r="DW39" s="628"/>
      <c r="DX39" s="628"/>
      <c r="DY39" s="628"/>
      <c r="DZ39" s="628"/>
      <c r="EA39" s="628"/>
      <c r="EB39" s="628"/>
      <c r="EC39" s="628"/>
      <c r="ED39" s="628"/>
      <c r="EE39" s="628"/>
      <c r="EF39" s="629"/>
      <c r="EG39" s="581">
        <f>EG14</f>
        <v>3916755.7</v>
      </c>
      <c r="EH39" s="628"/>
      <c r="EI39" s="628"/>
      <c r="EJ39" s="628"/>
      <c r="EK39" s="628"/>
      <c r="EL39" s="628"/>
      <c r="EM39" s="628"/>
      <c r="EN39" s="628"/>
      <c r="EO39" s="628"/>
      <c r="EP39" s="628"/>
      <c r="EQ39" s="628"/>
      <c r="ER39" s="628"/>
      <c r="ES39" s="629"/>
      <c r="ET39" s="625"/>
      <c r="EU39" s="626"/>
      <c r="EV39" s="626"/>
      <c r="EW39" s="626"/>
      <c r="EX39" s="626"/>
      <c r="EY39" s="626"/>
      <c r="EZ39" s="626"/>
      <c r="FA39" s="626"/>
      <c r="FB39" s="626"/>
      <c r="FC39" s="626"/>
      <c r="FD39" s="626"/>
      <c r="FE39" s="626"/>
      <c r="FF39" s="627"/>
    </row>
    <row r="40" spans="1:165" ht="24" customHeight="1">
      <c r="A40" s="607" t="s">
        <v>13</v>
      </c>
      <c r="B40" s="607"/>
      <c r="C40" s="607"/>
      <c r="D40" s="607"/>
      <c r="E40" s="607"/>
      <c r="F40" s="607"/>
      <c r="G40" s="607"/>
      <c r="H40" s="608"/>
      <c r="I40" s="609" t="s">
        <v>176</v>
      </c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610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610"/>
      <c r="AK40" s="610"/>
      <c r="AL40" s="610"/>
      <c r="AM40" s="610"/>
      <c r="AN40" s="610"/>
      <c r="AO40" s="610"/>
      <c r="AP40" s="610"/>
      <c r="AQ40" s="610"/>
      <c r="AR40" s="610"/>
      <c r="AS40" s="610"/>
      <c r="AT40" s="610"/>
      <c r="AU40" s="610"/>
      <c r="AV40" s="610"/>
      <c r="AW40" s="610"/>
      <c r="AX40" s="610"/>
      <c r="AY40" s="610"/>
      <c r="AZ40" s="610"/>
      <c r="BA40" s="610"/>
      <c r="BB40" s="610"/>
      <c r="BC40" s="610"/>
      <c r="BD40" s="610"/>
      <c r="BE40" s="610"/>
      <c r="BF40" s="610"/>
      <c r="BG40" s="610"/>
      <c r="BH40" s="610"/>
      <c r="BI40" s="610"/>
      <c r="BJ40" s="610"/>
      <c r="BK40" s="610"/>
      <c r="BL40" s="610"/>
      <c r="BM40" s="610"/>
      <c r="BN40" s="610"/>
      <c r="BO40" s="610"/>
      <c r="BP40" s="610"/>
      <c r="BQ40" s="610"/>
      <c r="BR40" s="610"/>
      <c r="BS40" s="610"/>
      <c r="BT40" s="610"/>
      <c r="BU40" s="610"/>
      <c r="BV40" s="610"/>
      <c r="BW40" s="610"/>
      <c r="BX40" s="610"/>
      <c r="BY40" s="610"/>
      <c r="BZ40" s="610"/>
      <c r="CA40" s="610"/>
      <c r="CB40" s="610"/>
      <c r="CC40" s="610"/>
      <c r="CD40" s="610"/>
      <c r="CE40" s="610"/>
      <c r="CF40" s="610"/>
      <c r="CG40" s="610"/>
      <c r="CH40" s="610"/>
      <c r="CI40" s="610"/>
      <c r="CJ40" s="610"/>
      <c r="CK40" s="610"/>
      <c r="CL40" s="610"/>
      <c r="CM40" s="610"/>
      <c r="CN40" s="611" t="s">
        <v>177</v>
      </c>
      <c r="CO40" s="607"/>
      <c r="CP40" s="607"/>
      <c r="CQ40" s="607"/>
      <c r="CR40" s="607"/>
      <c r="CS40" s="607"/>
      <c r="CT40" s="607"/>
      <c r="CU40" s="608"/>
      <c r="CV40" s="612" t="s">
        <v>21</v>
      </c>
      <c r="CW40" s="607"/>
      <c r="CX40" s="607"/>
      <c r="CY40" s="607"/>
      <c r="CZ40" s="607"/>
      <c r="DA40" s="607"/>
      <c r="DB40" s="607"/>
      <c r="DC40" s="607"/>
      <c r="DD40" s="607"/>
      <c r="DE40" s="608"/>
      <c r="DF40" s="297"/>
      <c r="DG40" s="589"/>
      <c r="DH40" s="590"/>
      <c r="DI40" s="590"/>
      <c r="DJ40" s="590"/>
      <c r="DK40" s="590"/>
      <c r="DL40" s="590"/>
      <c r="DM40" s="590"/>
      <c r="DN40" s="590"/>
      <c r="DO40" s="590"/>
      <c r="DP40" s="590"/>
      <c r="DQ40" s="590"/>
      <c r="DR40" s="590"/>
      <c r="DS40" s="591"/>
      <c r="DT40" s="589"/>
      <c r="DU40" s="590"/>
      <c r="DV40" s="590"/>
      <c r="DW40" s="590"/>
      <c r="DX40" s="590"/>
      <c r="DY40" s="590"/>
      <c r="DZ40" s="590"/>
      <c r="EA40" s="590"/>
      <c r="EB40" s="590"/>
      <c r="EC40" s="590"/>
      <c r="ED40" s="590"/>
      <c r="EE40" s="590"/>
      <c r="EF40" s="591"/>
      <c r="EG40" s="589"/>
      <c r="EH40" s="590"/>
      <c r="EI40" s="590"/>
      <c r="EJ40" s="590"/>
      <c r="EK40" s="590"/>
      <c r="EL40" s="590"/>
      <c r="EM40" s="590"/>
      <c r="EN40" s="590"/>
      <c r="EO40" s="590"/>
      <c r="EP40" s="590"/>
      <c r="EQ40" s="590"/>
      <c r="ER40" s="590"/>
      <c r="ES40" s="591"/>
      <c r="ET40" s="589"/>
      <c r="EU40" s="590"/>
      <c r="EV40" s="590"/>
      <c r="EW40" s="590"/>
      <c r="EX40" s="590"/>
      <c r="EY40" s="590"/>
      <c r="EZ40" s="590"/>
      <c r="FA40" s="590"/>
      <c r="FB40" s="590"/>
      <c r="FC40" s="590"/>
      <c r="FD40" s="590"/>
      <c r="FE40" s="590"/>
      <c r="FF40" s="592"/>
    </row>
    <row r="41" spans="1:165">
      <c r="A41" s="593"/>
      <c r="B41" s="593"/>
      <c r="C41" s="593"/>
      <c r="D41" s="593"/>
      <c r="E41" s="593"/>
      <c r="F41" s="593"/>
      <c r="G41" s="593"/>
      <c r="H41" s="594"/>
      <c r="I41" s="596" t="s">
        <v>174</v>
      </c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597"/>
      <c r="AO41" s="597"/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  <c r="BD41" s="597"/>
      <c r="BE41" s="597"/>
      <c r="BF41" s="597"/>
      <c r="BG41" s="597"/>
      <c r="BH41" s="597"/>
      <c r="BI41" s="597"/>
      <c r="BJ41" s="597"/>
      <c r="BK41" s="597"/>
      <c r="BL41" s="597"/>
      <c r="BM41" s="597"/>
      <c r="BN41" s="597"/>
      <c r="BO41" s="597"/>
      <c r="BP41" s="597"/>
      <c r="BQ41" s="597"/>
      <c r="BR41" s="597"/>
      <c r="BS41" s="597"/>
      <c r="BT41" s="597"/>
      <c r="BU41" s="597"/>
      <c r="BV41" s="597"/>
      <c r="BW41" s="597"/>
      <c r="BX41" s="597"/>
      <c r="BY41" s="597"/>
      <c r="BZ41" s="597"/>
      <c r="CA41" s="597"/>
      <c r="CB41" s="597"/>
      <c r="CC41" s="597"/>
      <c r="CD41" s="597"/>
      <c r="CE41" s="597"/>
      <c r="CF41" s="597"/>
      <c r="CG41" s="597"/>
      <c r="CH41" s="597"/>
      <c r="CI41" s="597"/>
      <c r="CJ41" s="597"/>
      <c r="CK41" s="597"/>
      <c r="CL41" s="597"/>
      <c r="CM41" s="598"/>
      <c r="CN41" s="599" t="s">
        <v>178</v>
      </c>
      <c r="CO41" s="593"/>
      <c r="CP41" s="593"/>
      <c r="CQ41" s="593"/>
      <c r="CR41" s="593"/>
      <c r="CS41" s="593"/>
      <c r="CT41" s="593"/>
      <c r="CU41" s="594"/>
      <c r="CV41" s="603"/>
      <c r="CW41" s="593"/>
      <c r="CX41" s="593"/>
      <c r="CY41" s="593"/>
      <c r="CZ41" s="593"/>
      <c r="DA41" s="593"/>
      <c r="DB41" s="593"/>
      <c r="DC41" s="593"/>
      <c r="DD41" s="593"/>
      <c r="DE41" s="594"/>
      <c r="DF41" s="299"/>
      <c r="DG41" s="581"/>
      <c r="DH41" s="582"/>
      <c r="DI41" s="582"/>
      <c r="DJ41" s="582"/>
      <c r="DK41" s="582"/>
      <c r="DL41" s="582"/>
      <c r="DM41" s="582"/>
      <c r="DN41" s="582"/>
      <c r="DO41" s="582"/>
      <c r="DP41" s="582"/>
      <c r="DQ41" s="582"/>
      <c r="DR41" s="582"/>
      <c r="DS41" s="605"/>
      <c r="DT41" s="581"/>
      <c r="DU41" s="582"/>
      <c r="DV41" s="582"/>
      <c r="DW41" s="582"/>
      <c r="DX41" s="582"/>
      <c r="DY41" s="582"/>
      <c r="DZ41" s="582"/>
      <c r="EA41" s="582"/>
      <c r="EB41" s="582"/>
      <c r="EC41" s="582"/>
      <c r="ED41" s="582"/>
      <c r="EE41" s="582"/>
      <c r="EF41" s="605"/>
      <c r="EG41" s="581"/>
      <c r="EH41" s="582"/>
      <c r="EI41" s="582"/>
      <c r="EJ41" s="582"/>
      <c r="EK41" s="582"/>
      <c r="EL41" s="582"/>
      <c r="EM41" s="582"/>
      <c r="EN41" s="582"/>
      <c r="EO41" s="582"/>
      <c r="EP41" s="582"/>
      <c r="EQ41" s="582"/>
      <c r="ER41" s="582"/>
      <c r="ES41" s="605"/>
      <c r="ET41" s="581"/>
      <c r="EU41" s="582"/>
      <c r="EV41" s="582"/>
      <c r="EW41" s="582"/>
      <c r="EX41" s="582"/>
      <c r="EY41" s="582"/>
      <c r="EZ41" s="582"/>
      <c r="FA41" s="582"/>
      <c r="FB41" s="582"/>
      <c r="FC41" s="582"/>
      <c r="FD41" s="582"/>
      <c r="FE41" s="582"/>
      <c r="FF41" s="583"/>
    </row>
    <row r="42" spans="1:165" ht="12" thickBot="1">
      <c r="A42" s="575"/>
      <c r="B42" s="575"/>
      <c r="C42" s="575"/>
      <c r="D42" s="575"/>
      <c r="E42" s="575"/>
      <c r="F42" s="575"/>
      <c r="G42" s="575"/>
      <c r="H42" s="595"/>
      <c r="I42" s="587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88"/>
      <c r="AS42" s="588"/>
      <c r="AT42" s="588"/>
      <c r="AU42" s="588"/>
      <c r="AV42" s="588"/>
      <c r="AW42" s="588"/>
      <c r="AX42" s="588"/>
      <c r="AY42" s="588"/>
      <c r="AZ42" s="588"/>
      <c r="BA42" s="588"/>
      <c r="BB42" s="588"/>
      <c r="BC42" s="588"/>
      <c r="BD42" s="588"/>
      <c r="BE42" s="588"/>
      <c r="BF42" s="588"/>
      <c r="BG42" s="588"/>
      <c r="BH42" s="588"/>
      <c r="BI42" s="588"/>
      <c r="BJ42" s="588"/>
      <c r="BK42" s="588"/>
      <c r="BL42" s="588"/>
      <c r="BM42" s="588"/>
      <c r="BN42" s="588"/>
      <c r="BO42" s="588"/>
      <c r="BP42" s="588"/>
      <c r="BQ42" s="588"/>
      <c r="BR42" s="588"/>
      <c r="BS42" s="588"/>
      <c r="BT42" s="588"/>
      <c r="BU42" s="588"/>
      <c r="BV42" s="588"/>
      <c r="BW42" s="588"/>
      <c r="BX42" s="588"/>
      <c r="BY42" s="588"/>
      <c r="BZ42" s="588"/>
      <c r="CA42" s="588"/>
      <c r="CB42" s="588"/>
      <c r="CC42" s="588"/>
      <c r="CD42" s="588"/>
      <c r="CE42" s="588"/>
      <c r="CF42" s="588"/>
      <c r="CG42" s="588"/>
      <c r="CH42" s="588"/>
      <c r="CI42" s="588"/>
      <c r="CJ42" s="588"/>
      <c r="CK42" s="588"/>
      <c r="CL42" s="588"/>
      <c r="CM42" s="588"/>
      <c r="CN42" s="600"/>
      <c r="CO42" s="601"/>
      <c r="CP42" s="601"/>
      <c r="CQ42" s="601"/>
      <c r="CR42" s="601"/>
      <c r="CS42" s="601"/>
      <c r="CT42" s="601"/>
      <c r="CU42" s="602"/>
      <c r="CV42" s="604"/>
      <c r="CW42" s="601"/>
      <c r="CX42" s="601"/>
      <c r="CY42" s="601"/>
      <c r="CZ42" s="601"/>
      <c r="DA42" s="601"/>
      <c r="DB42" s="601"/>
      <c r="DC42" s="601"/>
      <c r="DD42" s="601"/>
      <c r="DE42" s="602"/>
      <c r="DF42" s="300"/>
      <c r="DG42" s="584"/>
      <c r="DH42" s="585"/>
      <c r="DI42" s="585"/>
      <c r="DJ42" s="585"/>
      <c r="DK42" s="585"/>
      <c r="DL42" s="585"/>
      <c r="DM42" s="585"/>
      <c r="DN42" s="585"/>
      <c r="DO42" s="585"/>
      <c r="DP42" s="585"/>
      <c r="DQ42" s="585"/>
      <c r="DR42" s="585"/>
      <c r="DS42" s="606"/>
      <c r="DT42" s="584"/>
      <c r="DU42" s="585"/>
      <c r="DV42" s="585"/>
      <c r="DW42" s="585"/>
      <c r="DX42" s="585"/>
      <c r="DY42" s="585"/>
      <c r="DZ42" s="585"/>
      <c r="EA42" s="585"/>
      <c r="EB42" s="585"/>
      <c r="EC42" s="585"/>
      <c r="ED42" s="585"/>
      <c r="EE42" s="585"/>
      <c r="EF42" s="606"/>
      <c r="EG42" s="584"/>
      <c r="EH42" s="585"/>
      <c r="EI42" s="585"/>
      <c r="EJ42" s="585"/>
      <c r="EK42" s="585"/>
      <c r="EL42" s="585"/>
      <c r="EM42" s="585"/>
      <c r="EN42" s="585"/>
      <c r="EO42" s="585"/>
      <c r="EP42" s="585"/>
      <c r="EQ42" s="585"/>
      <c r="ER42" s="585"/>
      <c r="ES42" s="606"/>
      <c r="ET42" s="584"/>
      <c r="EU42" s="585"/>
      <c r="EV42" s="585"/>
      <c r="EW42" s="585"/>
      <c r="EX42" s="585"/>
      <c r="EY42" s="585"/>
      <c r="EZ42" s="585"/>
      <c r="FA42" s="585"/>
      <c r="FB42" s="585"/>
      <c r="FC42" s="585"/>
      <c r="FD42" s="585"/>
      <c r="FE42" s="585"/>
      <c r="FF42" s="586"/>
    </row>
    <row r="44" spans="1:165">
      <c r="I44" s="101" t="s">
        <v>179</v>
      </c>
    </row>
    <row r="45" spans="1:165">
      <c r="I45" s="101" t="s">
        <v>180</v>
      </c>
      <c r="AQ45" s="566" t="str">
        <f>'план '!K3</f>
        <v>Директор</v>
      </c>
      <c r="AR45" s="566"/>
      <c r="AS45" s="566"/>
      <c r="AT45" s="566"/>
      <c r="AU45" s="566"/>
      <c r="AV45" s="566"/>
      <c r="AW45" s="566"/>
      <c r="AX45" s="566"/>
      <c r="AY45" s="566"/>
      <c r="AZ45" s="566"/>
      <c r="BA45" s="566"/>
      <c r="BB45" s="566"/>
      <c r="BC45" s="566"/>
      <c r="BD45" s="566"/>
      <c r="BE45" s="566"/>
      <c r="BF45" s="566"/>
      <c r="BG45" s="566"/>
      <c r="BH45" s="566"/>
      <c r="BK45" s="566"/>
      <c r="BL45" s="566"/>
      <c r="BM45" s="566"/>
      <c r="BN45" s="566"/>
      <c r="BO45" s="566"/>
      <c r="BP45" s="566"/>
      <c r="BQ45" s="566"/>
      <c r="BR45" s="566"/>
      <c r="BS45" s="566"/>
      <c r="BT45" s="566"/>
      <c r="BU45" s="566"/>
      <c r="BV45" s="566"/>
      <c r="BY45" s="566" t="str">
        <f>'план '!K7</f>
        <v>Духанина Е.А.</v>
      </c>
      <c r="BZ45" s="566"/>
      <c r="CA45" s="566"/>
      <c r="CB45" s="566"/>
      <c r="CC45" s="566"/>
      <c r="CD45" s="566"/>
      <c r="CE45" s="566"/>
      <c r="CF45" s="566"/>
      <c r="CG45" s="566"/>
      <c r="CH45" s="566"/>
      <c r="CI45" s="566"/>
      <c r="CJ45" s="566"/>
      <c r="CK45" s="566"/>
      <c r="CL45" s="566"/>
      <c r="CM45" s="566"/>
      <c r="CN45" s="566"/>
      <c r="CO45" s="566"/>
      <c r="CP45" s="566"/>
      <c r="CQ45" s="566"/>
      <c r="CR45" s="566"/>
    </row>
    <row r="46" spans="1:165" s="20" customFormat="1" ht="8.25">
      <c r="AQ46" s="579" t="s">
        <v>181</v>
      </c>
      <c r="AR46" s="579"/>
      <c r="AS46" s="579"/>
      <c r="AT46" s="579"/>
      <c r="AU46" s="579"/>
      <c r="AV46" s="579"/>
      <c r="AW46" s="579"/>
      <c r="AX46" s="579"/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K46" s="579" t="s">
        <v>119</v>
      </c>
      <c r="BL46" s="579"/>
      <c r="BM46" s="579"/>
      <c r="BN46" s="579"/>
      <c r="BO46" s="579"/>
      <c r="BP46" s="579"/>
      <c r="BQ46" s="579"/>
      <c r="BR46" s="579"/>
      <c r="BS46" s="579"/>
      <c r="BT46" s="579"/>
      <c r="BU46" s="579"/>
      <c r="BV46" s="579"/>
      <c r="BY46" s="579" t="s">
        <v>120</v>
      </c>
      <c r="BZ46" s="579"/>
      <c r="CA46" s="579"/>
      <c r="CB46" s="579"/>
      <c r="CC46" s="579"/>
      <c r="CD46" s="579"/>
      <c r="CE46" s="579"/>
      <c r="CF46" s="579"/>
      <c r="CG46" s="579"/>
      <c r="CH46" s="579"/>
      <c r="CI46" s="579"/>
      <c r="CJ46" s="579"/>
      <c r="CK46" s="579"/>
      <c r="CL46" s="579"/>
      <c r="CM46" s="579"/>
      <c r="CN46" s="579"/>
      <c r="CO46" s="579"/>
      <c r="CP46" s="579"/>
      <c r="CQ46" s="579"/>
      <c r="CR46" s="579"/>
    </row>
    <row r="47" spans="1:165" s="20" customFormat="1" ht="3" customHeight="1"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</row>
    <row r="48" spans="1:165">
      <c r="I48" s="101" t="s">
        <v>182</v>
      </c>
      <c r="AM48" s="566" t="s">
        <v>561</v>
      </c>
      <c r="AN48" s="566"/>
      <c r="AO48" s="566"/>
      <c r="AP48" s="566"/>
      <c r="AQ48" s="566"/>
      <c r="AR48" s="566"/>
      <c r="AS48" s="566"/>
      <c r="AT48" s="566"/>
      <c r="AU48" s="566"/>
      <c r="AV48" s="566"/>
      <c r="AW48" s="566"/>
      <c r="AX48" s="566"/>
      <c r="AY48" s="566"/>
      <c r="AZ48" s="566"/>
      <c r="BA48" s="566"/>
      <c r="BB48" s="566"/>
      <c r="BC48" s="566"/>
      <c r="BD48" s="566"/>
      <c r="BE48" s="327"/>
      <c r="BF48" s="327"/>
      <c r="BG48" s="566" t="s">
        <v>477</v>
      </c>
      <c r="BH48" s="566"/>
      <c r="BI48" s="566"/>
      <c r="BJ48" s="566"/>
      <c r="BK48" s="566"/>
      <c r="BL48" s="566"/>
      <c r="BM48" s="566"/>
      <c r="BN48" s="566"/>
      <c r="BO48" s="566"/>
      <c r="BP48" s="566"/>
      <c r="BQ48" s="566"/>
      <c r="BR48" s="566"/>
      <c r="BS48" s="566"/>
      <c r="BT48" s="566"/>
      <c r="BU48" s="566"/>
      <c r="BV48" s="566"/>
      <c r="BW48" s="566"/>
      <c r="BX48" s="566"/>
      <c r="BY48" s="327"/>
      <c r="BZ48" s="327"/>
      <c r="CA48" s="575" t="s">
        <v>562</v>
      </c>
      <c r="CB48" s="575"/>
      <c r="CC48" s="575"/>
      <c r="CD48" s="575"/>
      <c r="CE48" s="575"/>
      <c r="CF48" s="575"/>
      <c r="CG48" s="575"/>
      <c r="CH48" s="575"/>
      <c r="CI48" s="575"/>
      <c r="CJ48" s="575"/>
      <c r="CK48" s="575"/>
      <c r="CL48" s="575"/>
      <c r="CM48" s="575"/>
      <c r="CN48" s="575"/>
      <c r="CO48" s="575"/>
      <c r="CP48" s="575"/>
      <c r="CQ48" s="575"/>
      <c r="CR48" s="575"/>
    </row>
    <row r="49" spans="1:96" s="20" customFormat="1" ht="8.25">
      <c r="AM49" s="579" t="s">
        <v>181</v>
      </c>
      <c r="AN49" s="579"/>
      <c r="AO49" s="579"/>
      <c r="AP49" s="579"/>
      <c r="AQ49" s="579"/>
      <c r="AR49" s="579"/>
      <c r="AS49" s="579"/>
      <c r="AT49" s="579"/>
      <c r="AU49" s="579"/>
      <c r="AV49" s="579"/>
      <c r="AW49" s="579"/>
      <c r="AX49" s="579"/>
      <c r="AY49" s="579"/>
      <c r="AZ49" s="579"/>
      <c r="BA49" s="579"/>
      <c r="BB49" s="579"/>
      <c r="BC49" s="579"/>
      <c r="BD49" s="579"/>
      <c r="BG49" s="579" t="s">
        <v>183</v>
      </c>
      <c r="BH49" s="579"/>
      <c r="BI49" s="579"/>
      <c r="BJ49" s="579"/>
      <c r="BK49" s="579"/>
      <c r="BL49" s="579"/>
      <c r="BM49" s="579"/>
      <c r="BN49" s="579"/>
      <c r="BO49" s="579"/>
      <c r="BP49" s="579"/>
      <c r="BQ49" s="579"/>
      <c r="BR49" s="579"/>
      <c r="BS49" s="579"/>
      <c r="BT49" s="579"/>
      <c r="BU49" s="579"/>
      <c r="BV49" s="579"/>
      <c r="BW49" s="579"/>
      <c r="BX49" s="579"/>
      <c r="CA49" s="579" t="s">
        <v>184</v>
      </c>
      <c r="CB49" s="579"/>
      <c r="CC49" s="579"/>
      <c r="CD49" s="579"/>
      <c r="CE49" s="579"/>
      <c r="CF49" s="579"/>
      <c r="CG49" s="579"/>
      <c r="CH49" s="579"/>
      <c r="CI49" s="579"/>
      <c r="CJ49" s="579"/>
      <c r="CK49" s="579"/>
      <c r="CL49" s="579"/>
      <c r="CM49" s="579"/>
      <c r="CN49" s="579"/>
      <c r="CO49" s="579"/>
      <c r="CP49" s="579"/>
      <c r="CQ49" s="579"/>
      <c r="CR49" s="579"/>
    </row>
    <row r="50" spans="1:96" s="20" customFormat="1" ht="3" customHeight="1"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>
      <c r="I51" s="574" t="s">
        <v>121</v>
      </c>
      <c r="J51" s="574"/>
      <c r="K51" s="575"/>
      <c r="L51" s="575"/>
      <c r="M51" s="575"/>
      <c r="N51" s="576" t="s">
        <v>121</v>
      </c>
      <c r="O51" s="576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5"/>
      <c r="AF51" s="574">
        <v>20</v>
      </c>
      <c r="AG51" s="574"/>
      <c r="AH51" s="574"/>
      <c r="AI51" s="577"/>
      <c r="AJ51" s="577"/>
      <c r="AK51" s="577"/>
      <c r="AL51" s="101" t="s">
        <v>6</v>
      </c>
    </row>
    <row r="52" spans="1:96" ht="12" thickBot="1"/>
    <row r="53" spans="1:96" ht="3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</row>
    <row r="54" spans="1:96">
      <c r="A54" s="24" t="s">
        <v>185</v>
      </c>
      <c r="CM54" s="25"/>
    </row>
    <row r="55" spans="1:96">
      <c r="A55" s="565"/>
      <c r="B55" s="566"/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66"/>
      <c r="AW55" s="566"/>
      <c r="AX55" s="566"/>
      <c r="AY55" s="566"/>
      <c r="AZ55" s="566"/>
      <c r="BA55" s="566"/>
      <c r="BB55" s="566"/>
      <c r="BC55" s="566"/>
      <c r="BD55" s="566"/>
      <c r="BE55" s="566"/>
      <c r="BF55" s="566"/>
      <c r="BG55" s="566"/>
      <c r="BH55" s="566"/>
      <c r="BI55" s="566"/>
      <c r="BJ55" s="566"/>
      <c r="BK55" s="566"/>
      <c r="BL55" s="566"/>
      <c r="BM55" s="566"/>
      <c r="BN55" s="566"/>
      <c r="BO55" s="566"/>
      <c r="BP55" s="566"/>
      <c r="BQ55" s="566"/>
      <c r="BR55" s="566"/>
      <c r="BS55" s="566"/>
      <c r="BT55" s="566"/>
      <c r="BU55" s="566"/>
      <c r="BV55" s="566"/>
      <c r="BW55" s="566"/>
      <c r="BX55" s="566"/>
      <c r="BY55" s="566"/>
      <c r="BZ55" s="566"/>
      <c r="CA55" s="566"/>
      <c r="CB55" s="566"/>
      <c r="CC55" s="566"/>
      <c r="CD55" s="566"/>
      <c r="CE55" s="566"/>
      <c r="CF55" s="566"/>
      <c r="CG55" s="566"/>
      <c r="CH55" s="566"/>
      <c r="CI55" s="566"/>
      <c r="CJ55" s="566"/>
      <c r="CK55" s="566"/>
      <c r="CL55" s="566"/>
      <c r="CM55" s="567"/>
    </row>
    <row r="56" spans="1:96" s="20" customFormat="1" ht="8.25">
      <c r="A56" s="578" t="s">
        <v>186</v>
      </c>
      <c r="B56" s="579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  <c r="AW56" s="579"/>
      <c r="AX56" s="579"/>
      <c r="AY56" s="579"/>
      <c r="AZ56" s="579"/>
      <c r="BA56" s="579"/>
      <c r="BB56" s="579"/>
      <c r="BC56" s="579"/>
      <c r="BD56" s="579"/>
      <c r="BE56" s="579"/>
      <c r="BF56" s="579"/>
      <c r="BG56" s="579"/>
      <c r="BH56" s="579"/>
      <c r="BI56" s="579"/>
      <c r="BJ56" s="579"/>
      <c r="BK56" s="579"/>
      <c r="BL56" s="579"/>
      <c r="BM56" s="579"/>
      <c r="BN56" s="579"/>
      <c r="BO56" s="579"/>
      <c r="BP56" s="579"/>
      <c r="BQ56" s="579"/>
      <c r="BR56" s="579"/>
      <c r="BS56" s="579"/>
      <c r="BT56" s="579"/>
      <c r="BU56" s="579"/>
      <c r="BV56" s="579"/>
      <c r="BW56" s="579"/>
      <c r="BX56" s="579"/>
      <c r="BY56" s="579"/>
      <c r="BZ56" s="579"/>
      <c r="CA56" s="579"/>
      <c r="CB56" s="579"/>
      <c r="CC56" s="579"/>
      <c r="CD56" s="579"/>
      <c r="CE56" s="579"/>
      <c r="CF56" s="579"/>
      <c r="CG56" s="579"/>
      <c r="CH56" s="579"/>
      <c r="CI56" s="579"/>
      <c r="CJ56" s="579"/>
      <c r="CK56" s="579"/>
      <c r="CL56" s="579"/>
      <c r="CM56" s="580"/>
    </row>
    <row r="57" spans="1:96" s="20" customFormat="1" ht="6" customHeight="1">
      <c r="A57" s="2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7"/>
    </row>
    <row r="58" spans="1:96">
      <c r="A58" s="565"/>
      <c r="B58" s="566"/>
      <c r="C58" s="566"/>
      <c r="D58" s="566"/>
      <c r="E58" s="566"/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AH58" s="566"/>
      <c r="AI58" s="566"/>
      <c r="AJ58" s="566"/>
      <c r="AK58" s="566"/>
      <c r="AL58" s="566"/>
      <c r="AM58" s="566"/>
      <c r="AN58" s="566"/>
      <c r="AO58" s="566"/>
      <c r="AP58" s="566"/>
      <c r="AQ58" s="566"/>
      <c r="AR58" s="566"/>
      <c r="AS58" s="566"/>
      <c r="AT58" s="566"/>
      <c r="AU58" s="566"/>
      <c r="AV58" s="566"/>
      <c r="AW58" s="566"/>
      <c r="AX58" s="566"/>
      <c r="AY58" s="566"/>
      <c r="AZ58" s="566"/>
      <c r="BA58" s="566"/>
      <c r="BB58" s="566"/>
      <c r="BC58" s="566"/>
      <c r="BD58" s="566"/>
      <c r="BE58" s="566"/>
      <c r="BF58" s="566"/>
      <c r="BG58" s="566"/>
      <c r="BH58" s="566"/>
      <c r="BI58" s="566"/>
      <c r="BJ58" s="566"/>
      <c r="BK58" s="566"/>
      <c r="BL58" s="566"/>
      <c r="BM58" s="566"/>
      <c r="BN58" s="566"/>
      <c r="BO58" s="566"/>
      <c r="BP58" s="566"/>
      <c r="BQ58" s="566"/>
      <c r="BR58" s="566"/>
      <c r="BS58" s="566"/>
      <c r="BT58" s="566"/>
      <c r="BU58" s="566"/>
      <c r="BV58" s="566"/>
      <c r="BW58" s="566"/>
      <c r="BX58" s="566"/>
      <c r="BY58" s="566"/>
      <c r="BZ58" s="566"/>
      <c r="CA58" s="566"/>
      <c r="CB58" s="566"/>
      <c r="CC58" s="566"/>
      <c r="CD58" s="566"/>
      <c r="CE58" s="566"/>
      <c r="CF58" s="566"/>
      <c r="CG58" s="566"/>
      <c r="CH58" s="566"/>
      <c r="CI58" s="566"/>
      <c r="CJ58" s="566"/>
      <c r="CK58" s="566"/>
      <c r="CL58" s="566"/>
      <c r="CM58" s="567"/>
    </row>
    <row r="59" spans="1:96" s="20" customFormat="1" ht="8.25">
      <c r="A59" s="578" t="s">
        <v>119</v>
      </c>
      <c r="B59" s="579"/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AH59" s="579" t="s">
        <v>120</v>
      </c>
      <c r="AI59" s="579"/>
      <c r="AJ59" s="579"/>
      <c r="AK59" s="579"/>
      <c r="AL59" s="579"/>
      <c r="AM59" s="579"/>
      <c r="AN59" s="579"/>
      <c r="AO59" s="579"/>
      <c r="AP59" s="579"/>
      <c r="AQ59" s="579"/>
      <c r="AR59" s="579"/>
      <c r="AS59" s="579"/>
      <c r="AT59" s="579"/>
      <c r="AU59" s="579"/>
      <c r="AV59" s="579"/>
      <c r="AW59" s="579"/>
      <c r="AX59" s="579"/>
      <c r="AY59" s="579"/>
      <c r="AZ59" s="579"/>
      <c r="BA59" s="579"/>
      <c r="BB59" s="579"/>
      <c r="BC59" s="579"/>
      <c r="BD59" s="579"/>
      <c r="BE59" s="579"/>
      <c r="BF59" s="579"/>
      <c r="BG59" s="579"/>
      <c r="BH59" s="579"/>
      <c r="BI59" s="579"/>
      <c r="BJ59" s="579"/>
      <c r="BK59" s="579"/>
      <c r="BL59" s="579"/>
      <c r="BM59" s="579"/>
      <c r="BN59" s="579"/>
      <c r="BO59" s="579"/>
      <c r="BP59" s="579"/>
      <c r="BQ59" s="579"/>
      <c r="BR59" s="579"/>
      <c r="BS59" s="579"/>
      <c r="BT59" s="579"/>
      <c r="BU59" s="579"/>
      <c r="BV59" s="579"/>
      <c r="BW59" s="579"/>
      <c r="BX59" s="579"/>
      <c r="BY59" s="579"/>
      <c r="BZ59" s="579"/>
      <c r="CA59" s="579"/>
      <c r="CB59" s="579"/>
      <c r="CC59" s="579"/>
      <c r="CD59" s="579"/>
      <c r="CE59" s="579"/>
      <c r="CF59" s="579"/>
      <c r="CG59" s="579"/>
      <c r="CH59" s="579"/>
      <c r="CI59" s="579"/>
      <c r="CJ59" s="579"/>
      <c r="CK59" s="579"/>
      <c r="CL59" s="579"/>
      <c r="CM59" s="580"/>
    </row>
    <row r="60" spans="1:96">
      <c r="A60" s="24"/>
      <c r="CM60" s="25"/>
    </row>
    <row r="61" spans="1:96">
      <c r="A61" s="573" t="s">
        <v>121</v>
      </c>
      <c r="B61" s="574"/>
      <c r="C61" s="575"/>
      <c r="D61" s="575"/>
      <c r="E61" s="575"/>
      <c r="F61" s="576" t="s">
        <v>121</v>
      </c>
      <c r="G61" s="576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4">
        <v>20</v>
      </c>
      <c r="Y61" s="574"/>
      <c r="Z61" s="574"/>
      <c r="AA61" s="577"/>
      <c r="AB61" s="577"/>
      <c r="AC61" s="577"/>
      <c r="AD61" s="101" t="s">
        <v>6</v>
      </c>
      <c r="CM61" s="25"/>
    </row>
    <row r="62" spans="1:96" ht="3" customHeight="1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30"/>
    </row>
    <row r="63" spans="1:96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96" s="32" customFormat="1" ht="12" customHeight="1">
      <c r="A64" s="31"/>
    </row>
    <row r="65" spans="1:162" s="32" customFormat="1" ht="40.5" customHeight="1">
      <c r="A65" s="568"/>
      <c r="B65" s="569"/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  <c r="BR65" s="569"/>
      <c r="BS65" s="569"/>
      <c r="BT65" s="569"/>
      <c r="BU65" s="569"/>
      <c r="BV65" s="569"/>
      <c r="BW65" s="569"/>
      <c r="BX65" s="569"/>
      <c r="BY65" s="569"/>
      <c r="BZ65" s="569"/>
      <c r="CA65" s="569"/>
      <c r="CB65" s="569"/>
      <c r="CC65" s="569"/>
      <c r="CD65" s="569"/>
      <c r="CE65" s="569"/>
      <c r="CF65" s="569"/>
      <c r="CG65" s="569"/>
      <c r="CH65" s="569"/>
      <c r="CI65" s="569"/>
      <c r="CJ65" s="569"/>
      <c r="CK65" s="569"/>
      <c r="CL65" s="569"/>
      <c r="CM65" s="569"/>
      <c r="CN65" s="569"/>
      <c r="CO65" s="569"/>
      <c r="CP65" s="569"/>
      <c r="CQ65" s="569"/>
      <c r="CR65" s="569"/>
      <c r="CS65" s="569"/>
      <c r="CT65" s="569"/>
      <c r="CU65" s="569"/>
      <c r="CV65" s="569"/>
      <c r="CW65" s="569"/>
      <c r="CX65" s="569"/>
      <c r="CY65" s="569"/>
      <c r="CZ65" s="569"/>
      <c r="DA65" s="569"/>
      <c r="DB65" s="569"/>
      <c r="DC65" s="569"/>
      <c r="DD65" s="569"/>
      <c r="DE65" s="569"/>
      <c r="DF65" s="569"/>
      <c r="DG65" s="569"/>
      <c r="DH65" s="569"/>
      <c r="DI65" s="569"/>
      <c r="DJ65" s="569"/>
      <c r="DK65" s="569"/>
      <c r="DL65" s="569"/>
      <c r="DM65" s="569"/>
      <c r="DN65" s="569"/>
      <c r="DO65" s="569"/>
      <c r="DP65" s="569"/>
      <c r="DQ65" s="569"/>
      <c r="DR65" s="569"/>
      <c r="DS65" s="569"/>
      <c r="DT65" s="569"/>
      <c r="DU65" s="569"/>
      <c r="DV65" s="569"/>
      <c r="DW65" s="569"/>
      <c r="DX65" s="569"/>
      <c r="DY65" s="569"/>
      <c r="DZ65" s="569"/>
      <c r="EA65" s="569"/>
      <c r="EB65" s="569"/>
      <c r="EC65" s="569"/>
      <c r="ED65" s="569"/>
      <c r="EE65" s="569"/>
      <c r="EF65" s="569"/>
      <c r="EG65" s="569"/>
      <c r="EH65" s="569"/>
      <c r="EI65" s="569"/>
      <c r="EJ65" s="569"/>
      <c r="EK65" s="569"/>
      <c r="EL65" s="569"/>
      <c r="EM65" s="569"/>
      <c r="EN65" s="569"/>
      <c r="EO65" s="569"/>
      <c r="EP65" s="569"/>
      <c r="EQ65" s="569"/>
      <c r="ER65" s="569"/>
      <c r="ES65" s="569"/>
      <c r="ET65" s="569"/>
      <c r="EU65" s="569"/>
      <c r="EV65" s="569"/>
      <c r="EW65" s="569"/>
      <c r="EX65" s="569"/>
      <c r="EY65" s="569"/>
      <c r="EZ65" s="569"/>
      <c r="FA65" s="569"/>
      <c r="FB65" s="569"/>
      <c r="FC65" s="569"/>
      <c r="FD65" s="569"/>
      <c r="FE65" s="569"/>
      <c r="FF65" s="569"/>
    </row>
    <row r="66" spans="1:162" s="32" customFormat="1" ht="21" customHeight="1">
      <c r="A66" s="570"/>
      <c r="B66" s="570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0"/>
      <c r="AK66" s="570"/>
      <c r="AL66" s="570"/>
      <c r="AM66" s="570"/>
      <c r="AN66" s="570"/>
      <c r="AO66" s="570"/>
      <c r="AP66" s="570"/>
      <c r="AQ66" s="570"/>
      <c r="AR66" s="570"/>
      <c r="AS66" s="570"/>
      <c r="AT66" s="570"/>
      <c r="AU66" s="570"/>
      <c r="AV66" s="570"/>
      <c r="AW66" s="570"/>
      <c r="AX66" s="570"/>
      <c r="AY66" s="570"/>
      <c r="AZ66" s="570"/>
      <c r="BA66" s="570"/>
      <c r="BB66" s="570"/>
      <c r="BC66" s="570"/>
      <c r="BD66" s="570"/>
      <c r="BE66" s="570"/>
      <c r="BF66" s="570"/>
      <c r="BG66" s="570"/>
      <c r="BH66" s="570"/>
      <c r="BI66" s="570"/>
      <c r="BJ66" s="570"/>
      <c r="BK66" s="570"/>
      <c r="BL66" s="570"/>
      <c r="BM66" s="570"/>
      <c r="BN66" s="570"/>
      <c r="BO66" s="570"/>
      <c r="BP66" s="570"/>
      <c r="BQ66" s="570"/>
      <c r="BR66" s="570"/>
      <c r="BS66" s="570"/>
      <c r="BT66" s="570"/>
      <c r="BU66" s="570"/>
      <c r="BV66" s="570"/>
      <c r="BW66" s="570"/>
      <c r="BX66" s="570"/>
      <c r="BY66" s="570"/>
      <c r="BZ66" s="570"/>
      <c r="CA66" s="570"/>
      <c r="CB66" s="570"/>
      <c r="CC66" s="570"/>
      <c r="CD66" s="570"/>
      <c r="CE66" s="570"/>
      <c r="CF66" s="570"/>
      <c r="CG66" s="570"/>
      <c r="CH66" s="570"/>
      <c r="CI66" s="570"/>
      <c r="CJ66" s="570"/>
      <c r="CK66" s="570"/>
      <c r="CL66" s="570"/>
      <c r="CM66" s="570"/>
      <c r="CN66" s="570"/>
      <c r="CO66" s="570"/>
      <c r="CP66" s="570"/>
      <c r="CQ66" s="570"/>
      <c r="CR66" s="570"/>
      <c r="CS66" s="570"/>
      <c r="CT66" s="570"/>
      <c r="CU66" s="570"/>
      <c r="CV66" s="570"/>
      <c r="CW66" s="570"/>
      <c r="CX66" s="570"/>
      <c r="CY66" s="570"/>
      <c r="CZ66" s="570"/>
      <c r="DA66" s="570"/>
      <c r="DB66" s="570"/>
      <c r="DC66" s="570"/>
      <c r="DD66" s="570"/>
      <c r="DE66" s="570"/>
      <c r="DF66" s="570"/>
      <c r="DG66" s="570"/>
      <c r="DH66" s="570"/>
      <c r="DI66" s="570"/>
      <c r="DJ66" s="570"/>
      <c r="DK66" s="570"/>
      <c r="DL66" s="570"/>
      <c r="DM66" s="570"/>
      <c r="DN66" s="570"/>
      <c r="DO66" s="570"/>
      <c r="DP66" s="570"/>
      <c r="DQ66" s="570"/>
      <c r="DR66" s="570"/>
      <c r="DS66" s="570"/>
      <c r="DT66" s="570"/>
      <c r="DU66" s="570"/>
      <c r="DV66" s="570"/>
      <c r="DW66" s="570"/>
      <c r="DX66" s="570"/>
      <c r="DY66" s="570"/>
      <c r="DZ66" s="570"/>
      <c r="EA66" s="570"/>
      <c r="EB66" s="570"/>
      <c r="EC66" s="570"/>
      <c r="ED66" s="570"/>
      <c r="EE66" s="570"/>
      <c r="EF66" s="570"/>
      <c r="EG66" s="570"/>
      <c r="EH66" s="570"/>
      <c r="EI66" s="570"/>
      <c r="EJ66" s="570"/>
      <c r="EK66" s="570"/>
      <c r="EL66" s="570"/>
      <c r="EM66" s="570"/>
      <c r="EN66" s="570"/>
      <c r="EO66" s="570"/>
      <c r="EP66" s="570"/>
      <c r="EQ66" s="570"/>
      <c r="ER66" s="570"/>
      <c r="ES66" s="570"/>
      <c r="ET66" s="570"/>
      <c r="EU66" s="570"/>
      <c r="EV66" s="570"/>
      <c r="EW66" s="570"/>
      <c r="EX66" s="570"/>
      <c r="EY66" s="570"/>
      <c r="EZ66" s="570"/>
      <c r="FA66" s="570"/>
      <c r="FB66" s="570"/>
      <c r="FC66" s="570"/>
      <c r="FD66" s="570"/>
      <c r="FE66" s="570"/>
      <c r="FF66" s="570"/>
    </row>
    <row r="67" spans="1:162" s="32" customFormat="1" ht="11.25" customHeight="1">
      <c r="A67" s="31"/>
    </row>
    <row r="68" spans="1:162" s="32" customFormat="1" ht="11.25" customHeight="1">
      <c r="A68" s="31"/>
    </row>
    <row r="69" spans="1:162" s="32" customFormat="1" ht="11.25" customHeight="1">
      <c r="A69" s="31"/>
    </row>
    <row r="70" spans="1:162" s="32" customFormat="1" ht="20.25" customHeight="1">
      <c r="A70" s="571"/>
      <c r="B70" s="572"/>
      <c r="C70" s="572"/>
      <c r="D70" s="572"/>
      <c r="E70" s="572"/>
      <c r="F70" s="572"/>
      <c r="G70" s="572"/>
      <c r="H70" s="572"/>
      <c r="I70" s="572"/>
      <c r="J70" s="572"/>
      <c r="K70" s="572"/>
      <c r="L70" s="572"/>
      <c r="M70" s="572"/>
      <c r="N70" s="572"/>
      <c r="O70" s="572"/>
      <c r="P70" s="572"/>
      <c r="Q70" s="572"/>
      <c r="R70" s="572"/>
      <c r="S70" s="572"/>
      <c r="T70" s="572"/>
      <c r="U70" s="572"/>
      <c r="V70" s="572"/>
      <c r="W70" s="572"/>
      <c r="X70" s="572"/>
      <c r="Y70" s="572"/>
      <c r="Z70" s="572"/>
      <c r="AA70" s="572"/>
      <c r="AB70" s="572"/>
      <c r="AC70" s="572"/>
      <c r="AD70" s="572"/>
      <c r="AE70" s="572"/>
      <c r="AF70" s="572"/>
      <c r="AG70" s="572"/>
      <c r="AH70" s="572"/>
      <c r="AI70" s="572"/>
      <c r="AJ70" s="572"/>
      <c r="AK70" s="572"/>
      <c r="AL70" s="572"/>
      <c r="AM70" s="572"/>
      <c r="AN70" s="572"/>
      <c r="AO70" s="572"/>
      <c r="AP70" s="572"/>
      <c r="AQ70" s="572"/>
      <c r="AR70" s="572"/>
      <c r="AS70" s="572"/>
      <c r="AT70" s="572"/>
      <c r="AU70" s="572"/>
      <c r="AV70" s="572"/>
      <c r="AW70" s="572"/>
      <c r="AX70" s="572"/>
      <c r="AY70" s="572"/>
      <c r="AZ70" s="572"/>
      <c r="BA70" s="572"/>
      <c r="BB70" s="572"/>
      <c r="BC70" s="572"/>
      <c r="BD70" s="572"/>
      <c r="BE70" s="572"/>
      <c r="BF70" s="572"/>
      <c r="BG70" s="572"/>
      <c r="BH70" s="572"/>
      <c r="BI70" s="572"/>
      <c r="BJ70" s="572"/>
      <c r="BK70" s="572"/>
      <c r="BL70" s="572"/>
      <c r="BM70" s="572"/>
      <c r="BN70" s="572"/>
      <c r="BO70" s="572"/>
      <c r="BP70" s="572"/>
      <c r="BQ70" s="572"/>
      <c r="BR70" s="572"/>
      <c r="BS70" s="572"/>
      <c r="BT70" s="572"/>
      <c r="BU70" s="572"/>
      <c r="BV70" s="572"/>
      <c r="BW70" s="572"/>
      <c r="BX70" s="572"/>
      <c r="BY70" s="572"/>
      <c r="BZ70" s="572"/>
      <c r="CA70" s="572"/>
      <c r="CB70" s="572"/>
      <c r="CC70" s="572"/>
      <c r="CD70" s="572"/>
      <c r="CE70" s="572"/>
      <c r="CF70" s="572"/>
      <c r="CG70" s="572"/>
      <c r="CH70" s="572"/>
      <c r="CI70" s="572"/>
      <c r="CJ70" s="572"/>
      <c r="CK70" s="572"/>
      <c r="CL70" s="572"/>
      <c r="CM70" s="572"/>
      <c r="CN70" s="572"/>
      <c r="CO70" s="572"/>
      <c r="CP70" s="572"/>
      <c r="CQ70" s="572"/>
      <c r="CR70" s="572"/>
      <c r="CS70" s="572"/>
      <c r="CT70" s="572"/>
      <c r="CU70" s="572"/>
      <c r="CV70" s="572"/>
      <c r="CW70" s="572"/>
      <c r="CX70" s="572"/>
      <c r="CY70" s="572"/>
      <c r="CZ70" s="572"/>
      <c r="DA70" s="572"/>
      <c r="DB70" s="572"/>
      <c r="DC70" s="572"/>
      <c r="DD70" s="572"/>
      <c r="DE70" s="572"/>
      <c r="DF70" s="572"/>
      <c r="DG70" s="572"/>
      <c r="DH70" s="572"/>
      <c r="DI70" s="572"/>
      <c r="DJ70" s="572"/>
      <c r="DK70" s="572"/>
      <c r="DL70" s="572"/>
      <c r="DM70" s="572"/>
      <c r="DN70" s="572"/>
      <c r="DO70" s="572"/>
      <c r="DP70" s="572"/>
      <c r="DQ70" s="572"/>
      <c r="DR70" s="572"/>
      <c r="DS70" s="572"/>
      <c r="DT70" s="572"/>
      <c r="DU70" s="572"/>
      <c r="DV70" s="572"/>
      <c r="DW70" s="572"/>
      <c r="DX70" s="572"/>
      <c r="DY70" s="572"/>
      <c r="DZ70" s="572"/>
      <c r="EA70" s="572"/>
      <c r="EB70" s="572"/>
      <c r="EC70" s="572"/>
      <c r="ED70" s="572"/>
      <c r="EE70" s="572"/>
      <c r="EF70" s="572"/>
      <c r="EG70" s="572"/>
      <c r="EH70" s="572"/>
      <c r="EI70" s="572"/>
      <c r="EJ70" s="572"/>
      <c r="EK70" s="572"/>
      <c r="EL70" s="572"/>
      <c r="EM70" s="572"/>
      <c r="EN70" s="572"/>
      <c r="EO70" s="572"/>
      <c r="EP70" s="572"/>
      <c r="EQ70" s="572"/>
      <c r="ER70" s="572"/>
      <c r="ES70" s="572"/>
      <c r="ET70" s="572"/>
      <c r="EU70" s="572"/>
      <c r="EV70" s="572"/>
      <c r="EW70" s="572"/>
      <c r="EX70" s="572"/>
      <c r="EY70" s="572"/>
      <c r="EZ70" s="572"/>
      <c r="FA70" s="572"/>
      <c r="FB70" s="572"/>
      <c r="FC70" s="572"/>
      <c r="FD70" s="572"/>
      <c r="FE70" s="572"/>
      <c r="FF70" s="572"/>
    </row>
    <row r="71" spans="1:162" ht="3" customHeight="1"/>
  </sheetData>
  <mergeCells count="333">
    <mergeCell ref="ET19:FF19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A19:H19"/>
    <mergeCell ref="I19:CM19"/>
    <mergeCell ref="CN19:CU19"/>
    <mergeCell ref="CV19:DE19"/>
    <mergeCell ref="DG19:DS19"/>
    <mergeCell ref="DT19:EF19"/>
    <mergeCell ref="EG19:ES19"/>
    <mergeCell ref="ET27:FF27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27:H27"/>
    <mergeCell ref="I27:CM27"/>
    <mergeCell ref="CN27:CU27"/>
    <mergeCell ref="CV27:DE27"/>
    <mergeCell ref="DG27:DS27"/>
    <mergeCell ref="DT27:EF27"/>
    <mergeCell ref="EG27:ES27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3:H23"/>
    <mergeCell ref="I23:CM23"/>
    <mergeCell ref="CN23:CU23"/>
    <mergeCell ref="CV23:DE23"/>
    <mergeCell ref="DG23:DS23"/>
    <mergeCell ref="DT23:EF23"/>
    <mergeCell ref="EG23:ES23"/>
    <mergeCell ref="I29:CM29"/>
    <mergeCell ref="CN29:CU29"/>
    <mergeCell ref="CV29:DE29"/>
    <mergeCell ref="DG29:DS29"/>
    <mergeCell ref="DT29:EF29"/>
    <mergeCell ref="EG29:ES29"/>
    <mergeCell ref="ET29:FF29"/>
    <mergeCell ref="A30:H30"/>
    <mergeCell ref="I30:CM30"/>
    <mergeCell ref="CN30:CU30"/>
    <mergeCell ref="CV30:DE30"/>
    <mergeCell ref="DG30:DS30"/>
    <mergeCell ref="DT30:EF30"/>
    <mergeCell ref="EG30:ES30"/>
    <mergeCell ref="ET30:FF30"/>
    <mergeCell ref="A29:H29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B1:FE1"/>
    <mergeCell ref="A3:H5"/>
    <mergeCell ref="I3:CM5"/>
    <mergeCell ref="CN3:CU5"/>
    <mergeCell ref="CV3:DE5"/>
    <mergeCell ref="DG3:FF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T4:FF5"/>
    <mergeCell ref="DG5:DS5"/>
    <mergeCell ref="DT5:EF5"/>
    <mergeCell ref="EG5:ES5"/>
    <mergeCell ref="DF3:DF5"/>
    <mergeCell ref="A6:H6"/>
    <mergeCell ref="I6:CM6"/>
    <mergeCell ref="CN6:CU6"/>
    <mergeCell ref="CV6:DE6"/>
    <mergeCell ref="DG6:DS6"/>
    <mergeCell ref="DT6:EF6"/>
    <mergeCell ref="EG6:ES6"/>
    <mergeCell ref="ET6:FF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31:H31"/>
    <mergeCell ref="I31:CM31"/>
    <mergeCell ref="CN31:CU31"/>
    <mergeCell ref="CV31:DE31"/>
    <mergeCell ref="DG31:DS31"/>
    <mergeCell ref="DT31:EF31"/>
    <mergeCell ref="EG31:ES31"/>
    <mergeCell ref="ET31:FF31"/>
    <mergeCell ref="A28:H28"/>
    <mergeCell ref="I28:CM28"/>
    <mergeCell ref="CN28:CU28"/>
    <mergeCell ref="CV28:DE28"/>
    <mergeCell ref="DG28:DS28"/>
    <mergeCell ref="DT28:EF28"/>
    <mergeCell ref="EG28:ES28"/>
    <mergeCell ref="ET28:FF28"/>
    <mergeCell ref="A32:H32"/>
    <mergeCell ref="I32:CM32"/>
    <mergeCell ref="CN32:CU32"/>
    <mergeCell ref="CV32:DE32"/>
    <mergeCell ref="DG32:DS32"/>
    <mergeCell ref="DT32:EF32"/>
    <mergeCell ref="EG32:ES32"/>
    <mergeCell ref="ET32:FF32"/>
    <mergeCell ref="A33:H33"/>
    <mergeCell ref="I33:CM33"/>
    <mergeCell ref="CN33:CU33"/>
    <mergeCell ref="CV33:DE33"/>
    <mergeCell ref="DG33:DS33"/>
    <mergeCell ref="DT33:EF33"/>
    <mergeCell ref="EG33:ES33"/>
    <mergeCell ref="ET33:FF33"/>
    <mergeCell ref="A34:H34"/>
    <mergeCell ref="I34:CM34"/>
    <mergeCell ref="CN34:CU34"/>
    <mergeCell ref="CV34:DE34"/>
    <mergeCell ref="DG34:DS34"/>
    <mergeCell ref="DT34:EF34"/>
    <mergeCell ref="EG34:ES34"/>
    <mergeCell ref="ET34:FF34"/>
    <mergeCell ref="A35:H35"/>
    <mergeCell ref="I35:CM35"/>
    <mergeCell ref="CN35:CU35"/>
    <mergeCell ref="CV35:DE35"/>
    <mergeCell ref="DG35:DS35"/>
    <mergeCell ref="DT35:EF35"/>
    <mergeCell ref="EG35:ES35"/>
    <mergeCell ref="ET35:FF35"/>
    <mergeCell ref="A36:H36"/>
    <mergeCell ref="I36:CM36"/>
    <mergeCell ref="CN36:CU36"/>
    <mergeCell ref="CV36:DE36"/>
    <mergeCell ref="DG36:DS36"/>
    <mergeCell ref="DT36:EF36"/>
    <mergeCell ref="EG36:ES36"/>
    <mergeCell ref="ET36:FF36"/>
    <mergeCell ref="A37:H39"/>
    <mergeCell ref="I37:CM37"/>
    <mergeCell ref="CN37:CU39"/>
    <mergeCell ref="CV37:DE39"/>
    <mergeCell ref="ET37:FF39"/>
    <mergeCell ref="I39:CM39"/>
    <mergeCell ref="DG37:DS37"/>
    <mergeCell ref="DG38:DS38"/>
    <mergeCell ref="DG39:DS39"/>
    <mergeCell ref="DT37:EF37"/>
    <mergeCell ref="DT38:EF38"/>
    <mergeCell ref="DT39:EF39"/>
    <mergeCell ref="EG37:ES37"/>
    <mergeCell ref="EG38:ES38"/>
    <mergeCell ref="EG39:ES39"/>
    <mergeCell ref="A55:CM55"/>
    <mergeCell ref="A56:CM56"/>
    <mergeCell ref="DT40:EF40"/>
    <mergeCell ref="EG40:ES40"/>
    <mergeCell ref="ET40:FF40"/>
    <mergeCell ref="A41:H42"/>
    <mergeCell ref="I41:CM41"/>
    <mergeCell ref="CN41:CU42"/>
    <mergeCell ref="CV41:DE42"/>
    <mergeCell ref="DG41:DS42"/>
    <mergeCell ref="DT41:EF42"/>
    <mergeCell ref="EG41:ES42"/>
    <mergeCell ref="A40:H40"/>
    <mergeCell ref="I40:CM40"/>
    <mergeCell ref="CN40:CU40"/>
    <mergeCell ref="CV40:DE40"/>
    <mergeCell ref="DG40:DS40"/>
    <mergeCell ref="AM49:BD49"/>
    <mergeCell ref="BG49:BX49"/>
    <mergeCell ref="CA49:CR49"/>
    <mergeCell ref="I51:J51"/>
    <mergeCell ref="K51:M51"/>
    <mergeCell ref="N51:O51"/>
    <mergeCell ref="Q51:AE51"/>
    <mergeCell ref="AF51:AH51"/>
    <mergeCell ref="AI51:AK51"/>
    <mergeCell ref="ET41:FF42"/>
    <mergeCell ref="I42:CM42"/>
    <mergeCell ref="AQ45:BH45"/>
    <mergeCell ref="BK45:BV45"/>
    <mergeCell ref="BY45:CR45"/>
    <mergeCell ref="AQ46:BH46"/>
    <mergeCell ref="BK46:BV46"/>
    <mergeCell ref="BY46:CR46"/>
    <mergeCell ref="AM48:BD48"/>
    <mergeCell ref="BG48:BX48"/>
    <mergeCell ref="CA48:CR48"/>
    <mergeCell ref="A58:Y58"/>
    <mergeCell ref="AH58:CM58"/>
    <mergeCell ref="A65:FF65"/>
    <mergeCell ref="A66:FF66"/>
    <mergeCell ref="A70:FF70"/>
    <mergeCell ref="A61:B61"/>
    <mergeCell ref="C61:E61"/>
    <mergeCell ref="F61:G61"/>
    <mergeCell ref="I61:W61"/>
    <mergeCell ref="X61:Z61"/>
    <mergeCell ref="AA61:AC61"/>
    <mergeCell ref="A59:Y59"/>
    <mergeCell ref="AH59:CM59"/>
  </mergeCells>
  <pageMargins left="0.59055118110236227" right="0.51181102362204722" top="0.78740157480314965" bottom="0.31496062992125984" header="0.19685039370078741" footer="0.19685039370078741"/>
  <pageSetup paperSize="9" scale="88" orientation="landscape" r:id="rId1"/>
  <headerFooter alignWithMargins="0"/>
  <rowBreaks count="1" manualBreakCount="1">
    <brk id="26" max="1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27"/>
  <sheetViews>
    <sheetView showGridLines="0" topLeftCell="A3" zoomScaleSheetLayoutView="80" workbookViewId="0">
      <selection activeCell="B5" sqref="B5"/>
    </sheetView>
  </sheetViews>
  <sheetFormatPr defaultRowHeight="15"/>
  <cols>
    <col min="1" max="1" width="30" style="138" customWidth="1"/>
    <col min="2" max="10" width="13.28515625" style="138" customWidth="1"/>
    <col min="11" max="16384" width="9.140625" style="138"/>
  </cols>
  <sheetData>
    <row r="1" spans="1:64" ht="31.5" hidden="1" customHeight="1">
      <c r="I1" s="701" t="s">
        <v>269</v>
      </c>
      <c r="J1" s="701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1:64" ht="166.5" hidden="1" customHeight="1">
      <c r="H2" s="702" t="s">
        <v>202</v>
      </c>
      <c r="I2" s="702"/>
      <c r="J2" s="702"/>
    </row>
    <row r="3" spans="1:64" ht="21.75" customHeight="1">
      <c r="A3" s="703" t="s">
        <v>270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64" ht="45" customHeight="1">
      <c r="A4" s="704" t="s">
        <v>271</v>
      </c>
      <c r="B4" s="706" t="s">
        <v>272</v>
      </c>
      <c r="C4" s="707"/>
      <c r="D4" s="708"/>
      <c r="E4" s="706" t="s">
        <v>273</v>
      </c>
      <c r="F4" s="707"/>
      <c r="G4" s="708"/>
      <c r="H4" s="706" t="s">
        <v>274</v>
      </c>
      <c r="I4" s="707"/>
      <c r="J4" s="708"/>
    </row>
    <row r="5" spans="1:64" ht="69.75" customHeight="1">
      <c r="A5" s="705"/>
      <c r="B5" s="215" t="s">
        <v>414</v>
      </c>
      <c r="C5" s="215" t="s">
        <v>415</v>
      </c>
      <c r="D5" s="215" t="s">
        <v>416</v>
      </c>
      <c r="E5" s="310" t="s">
        <v>414</v>
      </c>
      <c r="F5" s="310" t="s">
        <v>415</v>
      </c>
      <c r="G5" s="310" t="s">
        <v>416</v>
      </c>
      <c r="H5" s="310" t="s">
        <v>414</v>
      </c>
      <c r="I5" s="310" t="s">
        <v>415</v>
      </c>
      <c r="J5" s="310" t="s">
        <v>416</v>
      </c>
    </row>
    <row r="6" spans="1:64" ht="31.5" customHeight="1">
      <c r="A6" s="140" t="s">
        <v>275</v>
      </c>
      <c r="B6" s="140" t="s">
        <v>276</v>
      </c>
      <c r="C6" s="140" t="s">
        <v>276</v>
      </c>
      <c r="D6" s="140" t="s">
        <v>276</v>
      </c>
      <c r="E6" s="140" t="s">
        <v>276</v>
      </c>
      <c r="F6" s="140" t="s">
        <v>276</v>
      </c>
      <c r="G6" s="140" t="s">
        <v>276</v>
      </c>
      <c r="H6" s="141"/>
      <c r="I6" s="141"/>
      <c r="J6" s="141"/>
    </row>
    <row r="7" spans="1:64" ht="104.25" customHeight="1">
      <c r="A7" s="140" t="s">
        <v>277</v>
      </c>
      <c r="B7" s="140" t="s">
        <v>276</v>
      </c>
      <c r="C7" s="140" t="s">
        <v>276</v>
      </c>
      <c r="D7" s="140" t="s">
        <v>276</v>
      </c>
      <c r="E7" s="140" t="s">
        <v>276</v>
      </c>
      <c r="F7" s="140" t="s">
        <v>276</v>
      </c>
      <c r="G7" s="140" t="s">
        <v>276</v>
      </c>
      <c r="H7" s="141"/>
      <c r="I7" s="141"/>
      <c r="J7" s="141"/>
    </row>
    <row r="8" spans="1:64" s="144" customFormat="1" ht="30">
      <c r="A8" s="142" t="s">
        <v>278</v>
      </c>
      <c r="B8" s="140" t="s">
        <v>276</v>
      </c>
      <c r="C8" s="140" t="s">
        <v>276</v>
      </c>
      <c r="D8" s="140" t="s">
        <v>276</v>
      </c>
      <c r="E8" s="140" t="s">
        <v>276</v>
      </c>
      <c r="F8" s="140" t="s">
        <v>276</v>
      </c>
      <c r="G8" s="140" t="s">
        <v>276</v>
      </c>
      <c r="H8" s="143">
        <f>SUM(H10:H10)</f>
        <v>0</v>
      </c>
      <c r="I8" s="143">
        <f>SUM(I10:I10)</f>
        <v>0</v>
      </c>
      <c r="J8" s="143">
        <f>SUM(J10:J10)</f>
        <v>0</v>
      </c>
    </row>
    <row r="9" spans="1:64" s="144" customFormat="1" ht="13.5" customHeight="1">
      <c r="A9" s="145" t="s">
        <v>29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64" ht="23.25" customHeight="1">
      <c r="A10" s="140" t="s">
        <v>279</v>
      </c>
      <c r="B10" s="146"/>
      <c r="C10" s="146"/>
      <c r="D10" s="146"/>
      <c r="E10" s="146"/>
      <c r="F10" s="146"/>
      <c r="G10" s="146"/>
      <c r="H10" s="146">
        <f>B10*E10</f>
        <v>0</v>
      </c>
      <c r="I10" s="146">
        <f>C10*F10</f>
        <v>0</v>
      </c>
      <c r="J10" s="146">
        <f t="shared" ref="J10" si="0">D10*G10</f>
        <v>0</v>
      </c>
    </row>
    <row r="11" spans="1:64" s="144" customFormat="1">
      <c r="A11" s="142" t="s">
        <v>280</v>
      </c>
      <c r="B11" s="140" t="s">
        <v>276</v>
      </c>
      <c r="C11" s="140" t="s">
        <v>276</v>
      </c>
      <c r="D11" s="140" t="s">
        <v>276</v>
      </c>
      <c r="E11" s="140" t="s">
        <v>276</v>
      </c>
      <c r="F11" s="140" t="s">
        <v>276</v>
      </c>
      <c r="G11" s="140" t="s">
        <v>276</v>
      </c>
      <c r="H11" s="143">
        <f>SUM(H13:H13)</f>
        <v>0</v>
      </c>
      <c r="I11" s="143">
        <f>SUM(I13:I13)</f>
        <v>0</v>
      </c>
      <c r="J11" s="143">
        <f>SUM(J13:J13)</f>
        <v>0</v>
      </c>
    </row>
    <row r="12" spans="1:64" s="144" customFormat="1" ht="12.75" customHeight="1">
      <c r="A12" s="145" t="s">
        <v>29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64" ht="24" customHeight="1">
      <c r="A13" s="140" t="s">
        <v>279</v>
      </c>
      <c r="B13" s="146"/>
      <c r="C13" s="146"/>
      <c r="D13" s="146"/>
      <c r="E13" s="146"/>
      <c r="F13" s="146"/>
      <c r="G13" s="146"/>
      <c r="H13" s="146">
        <f>B13*E13</f>
        <v>0</v>
      </c>
      <c r="I13" s="146">
        <f t="shared" ref="I13:J13" si="1">C13*F13</f>
        <v>0</v>
      </c>
      <c r="J13" s="146">
        <f t="shared" si="1"/>
        <v>0</v>
      </c>
    </row>
    <row r="14" spans="1:64" s="149" customFormat="1" ht="24" customHeight="1">
      <c r="A14" s="147" t="s">
        <v>281</v>
      </c>
      <c r="B14" s="140" t="s">
        <v>276</v>
      </c>
      <c r="C14" s="140" t="s">
        <v>276</v>
      </c>
      <c r="D14" s="140" t="s">
        <v>276</v>
      </c>
      <c r="E14" s="140" t="s">
        <v>276</v>
      </c>
      <c r="F14" s="140" t="s">
        <v>276</v>
      </c>
      <c r="G14" s="140" t="s">
        <v>276</v>
      </c>
      <c r="H14" s="148">
        <f>H8+H11+H6+H7</f>
        <v>0</v>
      </c>
      <c r="I14" s="148">
        <f>I8+I11+I6+I7</f>
        <v>0</v>
      </c>
      <c r="J14" s="148">
        <f>J8+J11+J6+J7</f>
        <v>0</v>
      </c>
    </row>
    <row r="18" spans="1:21" ht="16.5" customHeight="1">
      <c r="A18" s="698" t="s">
        <v>179</v>
      </c>
      <c r="B18" s="698"/>
      <c r="C18" s="150" t="str">
        <f>'план '!K3</f>
        <v>Директор</v>
      </c>
      <c r="D18" s="151"/>
      <c r="E18" s="150"/>
      <c r="F18" s="151"/>
      <c r="G18" s="150" t="str">
        <f>'план '!K7</f>
        <v>Духанина Е.А.</v>
      </c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2"/>
    </row>
    <row r="19" spans="1:21" ht="17.25" customHeight="1">
      <c r="A19" s="698" t="s">
        <v>180</v>
      </c>
      <c r="B19" s="698"/>
      <c r="C19" s="153" t="s">
        <v>181</v>
      </c>
      <c r="D19" s="154"/>
      <c r="E19" s="153" t="s">
        <v>119</v>
      </c>
      <c r="F19" s="154"/>
      <c r="G19" s="699" t="s">
        <v>120</v>
      </c>
      <c r="H19" s="699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2"/>
    </row>
    <row r="20" spans="1:21">
      <c r="A20" s="155"/>
    </row>
    <row r="21" spans="1:21">
      <c r="C21" s="150" t="str">
        <f>закупки!AM48</f>
        <v>Гл.Бухгалтер</v>
      </c>
      <c r="D21" s="151"/>
      <c r="E21" s="150" t="str">
        <f>закупки!BG48</f>
        <v>Варфоломеева Н.Ю.</v>
      </c>
      <c r="F21" s="151"/>
      <c r="G21" s="271" t="str">
        <f>закупки!CA48</f>
        <v>498409</v>
      </c>
      <c r="H21" s="150"/>
    </row>
    <row r="22" spans="1:21">
      <c r="A22" s="138" t="s">
        <v>182</v>
      </c>
      <c r="C22" s="153" t="s">
        <v>181</v>
      </c>
      <c r="D22" s="154"/>
      <c r="E22" s="153" t="s">
        <v>183</v>
      </c>
      <c r="F22" s="154"/>
      <c r="G22" s="699" t="s">
        <v>184</v>
      </c>
      <c r="H22" s="699"/>
    </row>
    <row r="27" spans="1:21">
      <c r="A27" s="700" t="str">
        <f>'план '!K9</f>
        <v>"11" января 2021</v>
      </c>
      <c r="B27" s="700"/>
      <c r="C27" s="700"/>
      <c r="D27" s="700"/>
      <c r="E27" s="700"/>
    </row>
  </sheetData>
  <mergeCells count="12">
    <mergeCell ref="I1:J1"/>
    <mergeCell ref="H2:J2"/>
    <mergeCell ref="A3:J3"/>
    <mergeCell ref="A4:A5"/>
    <mergeCell ref="B4:D4"/>
    <mergeCell ref="E4:G4"/>
    <mergeCell ref="H4:J4"/>
    <mergeCell ref="A18:B18"/>
    <mergeCell ref="A19:B19"/>
    <mergeCell ref="G19:H19"/>
    <mergeCell ref="G22:H22"/>
    <mergeCell ref="A27:E27"/>
  </mergeCells>
  <pageMargins left="0.31496062992125984" right="0.31496062992125984" top="0.55118110236220474" bottom="0.55118110236220474" header="0.31496062992125984" footer="0.31496062992125984"/>
  <pageSetup paperSize="9"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showGridLines="0" view="pageBreakPreview" topLeftCell="A3" zoomScaleSheetLayoutView="100" workbookViewId="0">
      <selection activeCell="H10" sqref="H10"/>
    </sheetView>
  </sheetViews>
  <sheetFormatPr defaultRowHeight="15"/>
  <cols>
    <col min="1" max="1" width="32.5703125" style="138" customWidth="1"/>
    <col min="2" max="10" width="13.28515625" style="138" customWidth="1"/>
    <col min="11" max="16384" width="9.140625" style="138"/>
  </cols>
  <sheetData>
    <row r="1" spans="1:10" ht="18.75" hidden="1" customHeight="1">
      <c r="I1" s="701" t="s">
        <v>282</v>
      </c>
      <c r="J1" s="701"/>
    </row>
    <row r="2" spans="1:10" ht="139.5" hidden="1" customHeight="1">
      <c r="H2" s="702" t="s">
        <v>283</v>
      </c>
      <c r="I2" s="702"/>
      <c r="J2" s="702"/>
    </row>
    <row r="3" spans="1:10" ht="26.25" customHeight="1">
      <c r="A3" s="703" t="s">
        <v>284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ht="45" customHeight="1">
      <c r="A4" s="704" t="s">
        <v>271</v>
      </c>
      <c r="B4" s="706" t="s">
        <v>273</v>
      </c>
      <c r="C4" s="707"/>
      <c r="D4" s="708"/>
      <c r="E4" s="706" t="s">
        <v>285</v>
      </c>
      <c r="F4" s="707"/>
      <c r="G4" s="708"/>
      <c r="H4" s="706" t="s">
        <v>274</v>
      </c>
      <c r="I4" s="707"/>
      <c r="J4" s="708"/>
    </row>
    <row r="5" spans="1:10" ht="60">
      <c r="A5" s="705"/>
      <c r="B5" s="215" t="s">
        <v>414</v>
      </c>
      <c r="C5" s="215" t="s">
        <v>415</v>
      </c>
      <c r="D5" s="215" t="s">
        <v>417</v>
      </c>
      <c r="E5" s="310" t="s">
        <v>414</v>
      </c>
      <c r="F5" s="310" t="s">
        <v>415</v>
      </c>
      <c r="G5" s="310" t="s">
        <v>417</v>
      </c>
      <c r="H5" s="310" t="s">
        <v>414</v>
      </c>
      <c r="I5" s="310" t="s">
        <v>415</v>
      </c>
      <c r="J5" s="310" t="s">
        <v>417</v>
      </c>
    </row>
    <row r="6" spans="1:10" ht="31.5" customHeight="1">
      <c r="A6" s="328" t="s">
        <v>563</v>
      </c>
      <c r="B6" s="140" t="s">
        <v>276</v>
      </c>
      <c r="C6" s="140" t="s">
        <v>276</v>
      </c>
      <c r="D6" s="140" t="s">
        <v>276</v>
      </c>
      <c r="E6" s="140" t="s">
        <v>276</v>
      </c>
      <c r="F6" s="140" t="s">
        <v>276</v>
      </c>
      <c r="G6" s="140" t="s">
        <v>276</v>
      </c>
      <c r="H6" s="141">
        <v>0</v>
      </c>
      <c r="I6" s="141">
        <v>0</v>
      </c>
      <c r="J6" s="141">
        <v>0</v>
      </c>
    </row>
    <row r="7" spans="1:10" ht="75.75" customHeight="1">
      <c r="A7" s="328" t="s">
        <v>564</v>
      </c>
      <c r="B7" s="140" t="s">
        <v>276</v>
      </c>
      <c r="C7" s="140" t="s">
        <v>276</v>
      </c>
      <c r="D7" s="140" t="s">
        <v>276</v>
      </c>
      <c r="E7" s="140" t="s">
        <v>276</v>
      </c>
      <c r="F7" s="140" t="s">
        <v>276</v>
      </c>
      <c r="G7" s="140" t="s">
        <v>276</v>
      </c>
      <c r="H7" s="141">
        <v>0</v>
      </c>
      <c r="I7" s="141">
        <v>0</v>
      </c>
      <c r="J7" s="141">
        <v>0</v>
      </c>
    </row>
    <row r="8" spans="1:10" s="144" customFormat="1" ht="22.5" customHeight="1">
      <c r="A8" s="142" t="s">
        <v>278</v>
      </c>
      <c r="B8" s="709"/>
      <c r="C8" s="710"/>
      <c r="D8" s="710"/>
      <c r="E8" s="710"/>
      <c r="F8" s="710"/>
      <c r="G8" s="711"/>
      <c r="H8" s="143">
        <f>SUM(H10:H10)</f>
        <v>185429.48676</v>
      </c>
      <c r="I8" s="143">
        <f>SUM(I10:I10)</f>
        <v>185429.48676</v>
      </c>
      <c r="J8" s="143">
        <f>SUM(J10:J10)</f>
        <v>185429.48676</v>
      </c>
    </row>
    <row r="9" spans="1:10" s="144" customFormat="1" ht="12" customHeight="1">
      <c r="A9" s="145" t="s">
        <v>29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45">
      <c r="A10" s="145" t="s">
        <v>369</v>
      </c>
      <c r="B10" s="146">
        <v>40.200000000000003</v>
      </c>
      <c r="C10" s="146">
        <v>40.200000000000003</v>
      </c>
      <c r="D10" s="146">
        <v>40.200000000000003</v>
      </c>
      <c r="E10" s="146">
        <v>4612.6737999999996</v>
      </c>
      <c r="F10" s="146">
        <f>E10</f>
        <v>4612.6737999999996</v>
      </c>
      <c r="G10" s="146">
        <f>F10</f>
        <v>4612.6737999999996</v>
      </c>
      <c r="H10" s="146">
        <f>B10*E10</f>
        <v>185429.48676</v>
      </c>
      <c r="I10" s="146">
        <f>C10*F10</f>
        <v>185429.48676</v>
      </c>
      <c r="J10" s="146">
        <f>D10*G10</f>
        <v>185429.48676</v>
      </c>
    </row>
    <row r="11" spans="1:10" s="144" customFormat="1" ht="21" customHeight="1">
      <c r="A11" s="142" t="s">
        <v>280</v>
      </c>
      <c r="B11" s="709"/>
      <c r="C11" s="710"/>
      <c r="D11" s="710"/>
      <c r="E11" s="710"/>
      <c r="F11" s="710"/>
      <c r="G11" s="711"/>
      <c r="H11" s="143">
        <f>SUM(H13:H13)</f>
        <v>0</v>
      </c>
      <c r="I11" s="143">
        <f>SUM(I13:I13)</f>
        <v>0</v>
      </c>
      <c r="J11" s="143">
        <f>SUM(J13:J13)</f>
        <v>0</v>
      </c>
    </row>
    <row r="12" spans="1:10" s="144" customFormat="1" ht="12.75" customHeight="1">
      <c r="A12" s="145" t="s">
        <v>29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>
      <c r="A13" s="140" t="s">
        <v>279</v>
      </c>
      <c r="B13" s="146"/>
      <c r="C13" s="146"/>
      <c r="D13" s="146"/>
      <c r="E13" s="146"/>
      <c r="F13" s="146"/>
      <c r="G13" s="146"/>
      <c r="H13" s="146">
        <f>B13*E13</f>
        <v>0</v>
      </c>
      <c r="I13" s="146">
        <f t="shared" ref="I13:J13" si="0">C13*F13</f>
        <v>0</v>
      </c>
      <c r="J13" s="146">
        <f t="shared" si="0"/>
        <v>0</v>
      </c>
    </row>
    <row r="14" spans="1:10" s="149" customFormat="1" ht="31.5" customHeight="1">
      <c r="A14" s="147" t="s">
        <v>281</v>
      </c>
      <c r="B14" s="140" t="s">
        <v>276</v>
      </c>
      <c r="C14" s="140" t="s">
        <v>276</v>
      </c>
      <c r="D14" s="140" t="s">
        <v>276</v>
      </c>
      <c r="E14" s="140" t="s">
        <v>276</v>
      </c>
      <c r="F14" s="140" t="s">
        <v>276</v>
      </c>
      <c r="G14" s="140" t="s">
        <v>276</v>
      </c>
      <c r="H14" s="148">
        <f>H8+H11+H7+H6</f>
        <v>185429.48676</v>
      </c>
      <c r="I14" s="148">
        <f>I8+I11+I7+I6</f>
        <v>185429.48676</v>
      </c>
      <c r="J14" s="148">
        <f>J8+J11+J7+J6</f>
        <v>185429.48676</v>
      </c>
    </row>
    <row r="16" spans="1:10" ht="8.25" customHeight="1"/>
    <row r="17" spans="1:21" ht="16.5" customHeight="1">
      <c r="A17" s="698" t="s">
        <v>179</v>
      </c>
      <c r="B17" s="698"/>
      <c r="C17" s="150" t="str">
        <f>закупки!AQ45</f>
        <v>Директор</v>
      </c>
      <c r="D17" s="151"/>
      <c r="E17" s="150"/>
      <c r="F17" s="151"/>
      <c r="G17" s="150" t="str">
        <f>аренда!G18</f>
        <v>Духанина Е.А.</v>
      </c>
      <c r="H17" s="150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2"/>
    </row>
    <row r="18" spans="1:21" ht="17.25" customHeight="1">
      <c r="A18" s="698" t="s">
        <v>180</v>
      </c>
      <c r="B18" s="698"/>
      <c r="C18" s="153" t="s">
        <v>181</v>
      </c>
      <c r="D18" s="154"/>
      <c r="E18" s="153" t="s">
        <v>119</v>
      </c>
      <c r="F18" s="154"/>
      <c r="G18" s="699" t="s">
        <v>120</v>
      </c>
      <c r="H18" s="699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2"/>
    </row>
    <row r="19" spans="1:21">
      <c r="A19" s="155"/>
    </row>
    <row r="20" spans="1:21">
      <c r="C20" s="150" t="str">
        <f>аренда!C21</f>
        <v>Гл.Бухгалтер</v>
      </c>
      <c r="D20" s="151"/>
      <c r="E20" s="150" t="str">
        <f>аренда!E21</f>
        <v>Варфоломеева Н.Ю.</v>
      </c>
      <c r="F20" s="151"/>
      <c r="G20" s="271" t="str">
        <f>аренда!G21</f>
        <v>498409</v>
      </c>
      <c r="H20" s="150"/>
    </row>
    <row r="21" spans="1:21">
      <c r="A21" s="138" t="s">
        <v>182</v>
      </c>
      <c r="C21" s="153" t="s">
        <v>181</v>
      </c>
      <c r="D21" s="154"/>
      <c r="E21" s="153" t="s">
        <v>183</v>
      </c>
      <c r="F21" s="154"/>
      <c r="G21" s="699" t="s">
        <v>184</v>
      </c>
      <c r="H21" s="699"/>
    </row>
    <row r="23" spans="1:21" ht="8.25" customHeight="1"/>
    <row r="24" spans="1:21" ht="11.25" customHeight="1"/>
    <row r="25" spans="1:21">
      <c r="A25" s="700" t="str">
        <f>аренда!A27</f>
        <v>"11" января 2021</v>
      </c>
      <c r="B25" s="700"/>
      <c r="C25" s="700"/>
      <c r="D25" s="700"/>
      <c r="E25" s="700"/>
    </row>
  </sheetData>
  <mergeCells count="14">
    <mergeCell ref="I1:J1"/>
    <mergeCell ref="H2:J2"/>
    <mergeCell ref="A3:J3"/>
    <mergeCell ref="A4:A5"/>
    <mergeCell ref="B4:D4"/>
    <mergeCell ref="E4:G4"/>
    <mergeCell ref="H4:J4"/>
    <mergeCell ref="A25:E25"/>
    <mergeCell ref="B8:G8"/>
    <mergeCell ref="B11:G11"/>
    <mergeCell ref="A17:B17"/>
    <mergeCell ref="A18:B18"/>
    <mergeCell ref="G18:H18"/>
    <mergeCell ref="G21:H21"/>
  </mergeCells>
  <pageMargins left="0.31496062992125984" right="0.31496062992125984" top="0.55118110236220474" bottom="0.55118110236220474" header="0.31496062992125984" footer="0.31496062992125984"/>
  <pageSetup paperSize="9" scale="7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showGridLines="0" tabSelected="1" view="pageBreakPreview" topLeftCell="A3" zoomScale="82" zoomScaleSheetLayoutView="82" workbookViewId="0">
      <selection activeCell="H7" sqref="H7"/>
    </sheetView>
  </sheetViews>
  <sheetFormatPr defaultRowHeight="15"/>
  <cols>
    <col min="1" max="1" width="21.42578125" style="138" customWidth="1"/>
    <col min="2" max="3" width="11" style="138" customWidth="1"/>
    <col min="4" max="4" width="12.28515625" style="138" customWidth="1"/>
    <col min="5" max="8" width="9.140625" style="138" customWidth="1"/>
    <col min="9" max="14" width="11.28515625" style="138" customWidth="1"/>
    <col min="15" max="17" width="12.140625" style="138" customWidth="1"/>
    <col min="18" max="16384" width="9.140625" style="138"/>
  </cols>
  <sheetData>
    <row r="1" spans="1:17" ht="23.25" hidden="1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701" t="s">
        <v>286</v>
      </c>
      <c r="Q1" s="701"/>
    </row>
    <row r="2" spans="1:17" ht="147" hidden="1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702" t="s">
        <v>287</v>
      </c>
      <c r="P2" s="702"/>
      <c r="Q2" s="702"/>
    </row>
    <row r="3" spans="1:17" ht="21.75" customHeight="1">
      <c r="A3" s="703" t="s">
        <v>288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</row>
    <row r="4" spans="1:17" ht="14.25" customHeight="1">
      <c r="A4" s="715" t="s">
        <v>271</v>
      </c>
      <c r="B4" s="713" t="s">
        <v>289</v>
      </c>
      <c r="C4" s="713"/>
      <c r="D4" s="713"/>
      <c r="E4" s="718" t="s">
        <v>290</v>
      </c>
      <c r="F4" s="715"/>
      <c r="G4" s="715"/>
      <c r="H4" s="719"/>
      <c r="I4" s="713" t="s">
        <v>291</v>
      </c>
      <c r="J4" s="713"/>
      <c r="K4" s="713"/>
      <c r="L4" s="713" t="s">
        <v>292</v>
      </c>
      <c r="M4" s="713"/>
      <c r="N4" s="713"/>
      <c r="O4" s="713" t="s">
        <v>274</v>
      </c>
      <c r="P4" s="713"/>
      <c r="Q4" s="713"/>
    </row>
    <row r="5" spans="1:17" ht="25.5" customHeight="1">
      <c r="A5" s="716"/>
      <c r="B5" s="713" t="s">
        <v>293</v>
      </c>
      <c r="C5" s="713"/>
      <c r="D5" s="713"/>
      <c r="E5" s="720"/>
      <c r="F5" s="717"/>
      <c r="G5" s="717"/>
      <c r="H5" s="721"/>
      <c r="I5" s="713"/>
      <c r="J5" s="713"/>
      <c r="K5" s="713"/>
      <c r="L5" s="713"/>
      <c r="M5" s="713"/>
      <c r="N5" s="713"/>
      <c r="O5" s="713"/>
      <c r="P5" s="713"/>
      <c r="Q5" s="713"/>
    </row>
    <row r="6" spans="1:17" ht="138" customHeight="1" thickBot="1">
      <c r="A6" s="717"/>
      <c r="B6" s="310" t="s">
        <v>370</v>
      </c>
      <c r="C6" s="310" t="s">
        <v>371</v>
      </c>
      <c r="D6" s="215" t="s">
        <v>418</v>
      </c>
      <c r="E6" s="310" t="s">
        <v>370</v>
      </c>
      <c r="F6" s="310" t="s">
        <v>371</v>
      </c>
      <c r="G6" s="310" t="s">
        <v>418</v>
      </c>
      <c r="H6" s="439" t="s">
        <v>579</v>
      </c>
      <c r="I6" s="215" t="s">
        <v>414</v>
      </c>
      <c r="J6" s="215" t="s">
        <v>415</v>
      </c>
      <c r="K6" s="215" t="s">
        <v>416</v>
      </c>
      <c r="L6" s="310" t="s">
        <v>414</v>
      </c>
      <c r="M6" s="310" t="s">
        <v>415</v>
      </c>
      <c r="N6" s="310" t="s">
        <v>416</v>
      </c>
      <c r="O6" s="310" t="s">
        <v>414</v>
      </c>
      <c r="P6" s="310" t="s">
        <v>415</v>
      </c>
      <c r="Q6" s="310" t="s">
        <v>416</v>
      </c>
    </row>
    <row r="7" spans="1:17" ht="46.5" customHeight="1">
      <c r="A7" s="272" t="s">
        <v>372</v>
      </c>
      <c r="B7" s="141" t="s">
        <v>276</v>
      </c>
      <c r="C7" s="141" t="s">
        <v>276</v>
      </c>
      <c r="D7" s="141" t="s">
        <v>276</v>
      </c>
      <c r="E7" s="141" t="s">
        <v>276</v>
      </c>
      <c r="F7" s="141" t="s">
        <v>276</v>
      </c>
      <c r="G7" s="141" t="s">
        <v>276</v>
      </c>
      <c r="H7" s="141" t="s">
        <v>276</v>
      </c>
      <c r="I7" s="141" t="s">
        <v>276</v>
      </c>
      <c r="J7" s="141" t="s">
        <v>276</v>
      </c>
      <c r="K7" s="141" t="s">
        <v>276</v>
      </c>
      <c r="L7" s="141" t="s">
        <v>276</v>
      </c>
      <c r="M7" s="141" t="s">
        <v>276</v>
      </c>
      <c r="N7" s="141" t="s">
        <v>276</v>
      </c>
      <c r="O7" s="48">
        <v>22670.6</v>
      </c>
      <c r="P7" s="266">
        <v>0</v>
      </c>
      <c r="Q7" s="266">
        <v>0</v>
      </c>
    </row>
    <row r="8" spans="1:17" ht="123" customHeight="1">
      <c r="A8" s="272" t="s">
        <v>373</v>
      </c>
      <c r="B8" s="141" t="s">
        <v>276</v>
      </c>
      <c r="C8" s="141" t="s">
        <v>276</v>
      </c>
      <c r="D8" s="141" t="s">
        <v>276</v>
      </c>
      <c r="E8" s="141" t="s">
        <v>276</v>
      </c>
      <c r="F8" s="141" t="s">
        <v>276</v>
      </c>
      <c r="G8" s="141" t="s">
        <v>276</v>
      </c>
      <c r="H8" s="141" t="s">
        <v>276</v>
      </c>
      <c r="I8" s="141" t="s">
        <v>276</v>
      </c>
      <c r="J8" s="141" t="s">
        <v>276</v>
      </c>
      <c r="K8" s="141" t="s">
        <v>276</v>
      </c>
      <c r="L8" s="141" t="s">
        <v>276</v>
      </c>
      <c r="M8" s="141" t="s">
        <v>276</v>
      </c>
      <c r="N8" s="141" t="s">
        <v>276</v>
      </c>
      <c r="O8" s="141"/>
      <c r="P8" s="141"/>
      <c r="Q8" s="141"/>
    </row>
    <row r="9" spans="1:17" ht="25.5" customHeight="1">
      <c r="A9" s="273" t="s">
        <v>432</v>
      </c>
      <c r="B9" s="340">
        <f>32400+31500</f>
        <v>63900</v>
      </c>
      <c r="C9" s="146">
        <v>72300</v>
      </c>
      <c r="D9" s="146">
        <v>67200</v>
      </c>
      <c r="E9" s="146">
        <v>28</v>
      </c>
      <c r="F9" s="146">
        <v>28</v>
      </c>
      <c r="G9" s="146">
        <v>14</v>
      </c>
      <c r="H9" s="157">
        <f>ROUND((E9+F9+G9)/3,1)</f>
        <v>23.3</v>
      </c>
      <c r="I9" s="146">
        <v>18</v>
      </c>
      <c r="J9" s="146">
        <v>21</v>
      </c>
      <c r="K9" s="146">
        <v>21</v>
      </c>
      <c r="L9" s="146">
        <v>300</v>
      </c>
      <c r="M9" s="146">
        <v>300</v>
      </c>
      <c r="N9" s="146">
        <v>300</v>
      </c>
      <c r="O9" s="146">
        <f>I9*H9*L9-454.59</f>
        <v>125365.41000000002</v>
      </c>
      <c r="P9" s="146">
        <f>J9*H9*M9-193.99</f>
        <v>146596.01</v>
      </c>
      <c r="Q9" s="146">
        <f>K9*H9*N9-193.99</f>
        <v>146596.01</v>
      </c>
    </row>
    <row r="10" spans="1:17" ht="21.75" customHeight="1">
      <c r="A10" s="273" t="s">
        <v>433</v>
      </c>
      <c r="B10" s="340">
        <v>15800</v>
      </c>
      <c r="C10" s="146">
        <v>30900</v>
      </c>
      <c r="D10" s="146">
        <v>25200</v>
      </c>
      <c r="E10" s="146">
        <v>28</v>
      </c>
      <c r="F10" s="146">
        <v>22</v>
      </c>
      <c r="G10" s="146">
        <v>18</v>
      </c>
      <c r="H10" s="157">
        <f t="shared" ref="H10:H12" si="0">ROUND((E10+F10+G10)/3,1)</f>
        <v>22.7</v>
      </c>
      <c r="I10" s="146">
        <v>14</v>
      </c>
      <c r="J10" s="146">
        <v>16</v>
      </c>
      <c r="K10" s="146">
        <v>16</v>
      </c>
      <c r="L10" s="146">
        <v>100</v>
      </c>
      <c r="M10" s="146">
        <v>100</v>
      </c>
      <c r="N10" s="146">
        <v>100</v>
      </c>
      <c r="O10" s="146">
        <f t="shared" ref="O10:O14" si="1">I10*H10*L10</f>
        <v>31780</v>
      </c>
      <c r="P10" s="146">
        <f t="shared" ref="P9:P14" si="2">J10*H10*M10</f>
        <v>36320</v>
      </c>
      <c r="Q10" s="146">
        <f t="shared" ref="Q9:Q14" si="3">K10*H10*N10</f>
        <v>36320</v>
      </c>
    </row>
    <row r="11" spans="1:17" ht="24" customHeight="1">
      <c r="A11" s="273" t="s">
        <v>434</v>
      </c>
      <c r="B11" s="340">
        <v>8250</v>
      </c>
      <c r="C11" s="146">
        <v>29850</v>
      </c>
      <c r="D11" s="146">
        <v>35100</v>
      </c>
      <c r="E11" s="146">
        <v>26</v>
      </c>
      <c r="F11" s="146">
        <v>14</v>
      </c>
      <c r="G11" s="146">
        <v>12</v>
      </c>
      <c r="H11" s="157">
        <f t="shared" si="0"/>
        <v>17.3</v>
      </c>
      <c r="I11" s="146">
        <v>14</v>
      </c>
      <c r="J11" s="146">
        <v>13</v>
      </c>
      <c r="K11" s="146">
        <v>13</v>
      </c>
      <c r="L11" s="146">
        <v>150</v>
      </c>
      <c r="M11" s="146">
        <v>150</v>
      </c>
      <c r="N11" s="146">
        <v>150</v>
      </c>
      <c r="O11" s="146">
        <f t="shared" si="1"/>
        <v>36330</v>
      </c>
      <c r="P11" s="146">
        <f t="shared" si="2"/>
        <v>33735</v>
      </c>
      <c r="Q11" s="146">
        <f t="shared" si="3"/>
        <v>33735</v>
      </c>
    </row>
    <row r="12" spans="1:17" ht="15" customHeight="1">
      <c r="A12" s="273" t="s">
        <v>435</v>
      </c>
      <c r="B12" s="340">
        <f>15000+4800</f>
        <v>19800</v>
      </c>
      <c r="C12" s="146">
        <v>32800</v>
      </c>
      <c r="D12" s="146">
        <v>33600</v>
      </c>
      <c r="E12" s="146">
        <v>28</v>
      </c>
      <c r="F12" s="146">
        <v>12</v>
      </c>
      <c r="G12" s="146">
        <v>10</v>
      </c>
      <c r="H12" s="157">
        <f t="shared" si="0"/>
        <v>16.7</v>
      </c>
      <c r="I12" s="146">
        <v>16</v>
      </c>
      <c r="J12" s="146">
        <v>16</v>
      </c>
      <c r="K12" s="146">
        <v>16</v>
      </c>
      <c r="L12" s="146">
        <v>100</v>
      </c>
      <c r="M12" s="146">
        <v>100</v>
      </c>
      <c r="N12" s="146">
        <v>100</v>
      </c>
      <c r="O12" s="146">
        <f t="shared" si="1"/>
        <v>26720</v>
      </c>
      <c r="P12" s="146">
        <f t="shared" si="2"/>
        <v>26720</v>
      </c>
      <c r="Q12" s="146">
        <f t="shared" si="3"/>
        <v>26720</v>
      </c>
    </row>
    <row r="13" spans="1:17" ht="30" customHeight="1">
      <c r="A13" s="273" t="s">
        <v>436</v>
      </c>
      <c r="B13" s="340">
        <f>20320+8640</f>
        <v>28960</v>
      </c>
      <c r="C13" s="146">
        <v>12880</v>
      </c>
      <c r="D13" s="146">
        <v>11520</v>
      </c>
      <c r="E13" s="146">
        <v>19</v>
      </c>
      <c r="F13" s="146">
        <v>18</v>
      </c>
      <c r="G13" s="146">
        <v>18</v>
      </c>
      <c r="H13" s="157">
        <v>18</v>
      </c>
      <c r="I13" s="146">
        <v>12</v>
      </c>
      <c r="J13" s="146">
        <v>11.6</v>
      </c>
      <c r="K13" s="146">
        <v>11.6</v>
      </c>
      <c r="L13" s="146">
        <v>80</v>
      </c>
      <c r="M13" s="146">
        <v>80</v>
      </c>
      <c r="N13" s="146">
        <v>80</v>
      </c>
      <c r="O13" s="146">
        <f t="shared" si="1"/>
        <v>17280</v>
      </c>
      <c r="P13" s="146">
        <f>J13*H13*M13+71</f>
        <v>16775</v>
      </c>
      <c r="Q13" s="146">
        <f>K13*H13*N13+71</f>
        <v>16775</v>
      </c>
    </row>
    <row r="14" spans="1:17" ht="45" hidden="1" customHeight="1">
      <c r="A14" s="156" t="s">
        <v>279</v>
      </c>
      <c r="B14" s="275"/>
      <c r="C14" s="275"/>
      <c r="D14" s="158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46">
        <f t="shared" si="1"/>
        <v>0</v>
      </c>
      <c r="P14" s="146">
        <f t="shared" si="2"/>
        <v>0</v>
      </c>
      <c r="Q14" s="146">
        <f t="shared" si="3"/>
        <v>0</v>
      </c>
    </row>
    <row r="15" spans="1:17" s="149" customFormat="1" ht="42" hidden="1" customHeight="1">
      <c r="A15" s="156" t="s">
        <v>294</v>
      </c>
      <c r="B15" s="275"/>
      <c r="C15" s="275"/>
      <c r="D15" s="158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46"/>
      <c r="P15" s="146"/>
      <c r="Q15" s="146"/>
    </row>
    <row r="16" spans="1:17" ht="63.75" hidden="1">
      <c r="A16" s="156" t="s">
        <v>295</v>
      </c>
      <c r="B16" s="275"/>
      <c r="C16" s="275"/>
      <c r="D16" s="158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46">
        <f>I16*H16*L16</f>
        <v>0</v>
      </c>
      <c r="P16" s="146">
        <f>J16*H16*M16</f>
        <v>0</v>
      </c>
      <c r="Q16" s="146">
        <f>K16*H16*N16</f>
        <v>0</v>
      </c>
    </row>
    <row r="17" spans="1:21" ht="68.25" customHeight="1">
      <c r="A17" s="273" t="s">
        <v>374</v>
      </c>
      <c r="B17" s="787">
        <v>4000</v>
      </c>
      <c r="C17" s="787" t="s">
        <v>578</v>
      </c>
      <c r="D17" s="158">
        <v>0</v>
      </c>
      <c r="E17" s="157">
        <v>5</v>
      </c>
      <c r="F17" s="157">
        <v>5</v>
      </c>
      <c r="G17" s="157">
        <v>5</v>
      </c>
      <c r="H17" s="157">
        <f>ROUND((E17+F17+G17)/3,1)</f>
        <v>5</v>
      </c>
      <c r="I17" s="157">
        <v>25</v>
      </c>
      <c r="J17" s="157">
        <v>25</v>
      </c>
      <c r="K17" s="157">
        <v>25</v>
      </c>
      <c r="L17" s="157">
        <v>51</v>
      </c>
      <c r="M17" s="157">
        <v>51</v>
      </c>
      <c r="N17" s="157">
        <v>51</v>
      </c>
      <c r="O17" s="146">
        <f>I17*H17*L17</f>
        <v>6375</v>
      </c>
      <c r="P17" s="146">
        <f>J17*H17*M17</f>
        <v>6375</v>
      </c>
      <c r="Q17" s="146">
        <f>K17*H17*N17</f>
        <v>6375</v>
      </c>
    </row>
    <row r="18" spans="1:21" ht="51.75" customHeight="1">
      <c r="A18" s="273" t="s">
        <v>375</v>
      </c>
      <c r="B18" s="787">
        <v>38850</v>
      </c>
      <c r="C18" s="787">
        <v>49122.99</v>
      </c>
      <c r="D18" s="158">
        <v>0</v>
      </c>
      <c r="E18" s="157">
        <v>21</v>
      </c>
      <c r="F18" s="157">
        <v>21</v>
      </c>
      <c r="G18" s="157">
        <v>21</v>
      </c>
      <c r="H18" s="157">
        <f>ROUND((E18+F18+G18)/3,1)</f>
        <v>21</v>
      </c>
      <c r="I18" s="157">
        <v>35</v>
      </c>
      <c r="J18" s="157">
        <v>35</v>
      </c>
      <c r="K18" s="157">
        <v>35</v>
      </c>
      <c r="L18" s="157">
        <v>51</v>
      </c>
      <c r="M18" s="157">
        <v>51</v>
      </c>
      <c r="N18" s="157">
        <v>51</v>
      </c>
      <c r="O18" s="146">
        <f>I18*H18*L18</f>
        <v>37485</v>
      </c>
      <c r="P18" s="146">
        <f>J18*H18*M18</f>
        <v>37485</v>
      </c>
      <c r="Q18" s="146">
        <f>K18*H18*N18</f>
        <v>37485</v>
      </c>
    </row>
    <row r="19" spans="1:21" ht="24.75" customHeight="1">
      <c r="A19" s="159" t="s">
        <v>281</v>
      </c>
      <c r="B19" s="160">
        <f t="shared" ref="B19:K19" si="4">SUM(B9:B18)</f>
        <v>179560</v>
      </c>
      <c r="C19" s="160">
        <f t="shared" si="4"/>
        <v>227852.99</v>
      </c>
      <c r="D19" s="160">
        <f t="shared" si="4"/>
        <v>172620</v>
      </c>
      <c r="E19" s="160">
        <f t="shared" si="4"/>
        <v>155</v>
      </c>
      <c r="F19" s="160">
        <f t="shared" si="4"/>
        <v>120</v>
      </c>
      <c r="G19" s="160">
        <f t="shared" si="4"/>
        <v>98</v>
      </c>
      <c r="H19" s="160">
        <f t="shared" si="4"/>
        <v>124</v>
      </c>
      <c r="I19" s="160">
        <f t="shared" si="4"/>
        <v>134</v>
      </c>
      <c r="J19" s="160">
        <f t="shared" si="4"/>
        <v>137.6</v>
      </c>
      <c r="K19" s="160">
        <f t="shared" si="4"/>
        <v>137.6</v>
      </c>
      <c r="L19" s="161" t="s">
        <v>276</v>
      </c>
      <c r="M19" s="161" t="s">
        <v>276</v>
      </c>
      <c r="N19" s="161" t="s">
        <v>276</v>
      </c>
      <c r="O19" s="148">
        <f>SUM(O7:O18)</f>
        <v>304006.01</v>
      </c>
      <c r="P19" s="148">
        <f>SUM(P7:P18)</f>
        <v>304006.01</v>
      </c>
      <c r="Q19" s="148">
        <f>SUM(Q7:Q18)</f>
        <v>304006.01</v>
      </c>
    </row>
    <row r="20" spans="1:21" ht="24.7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</row>
    <row r="21" spans="1:21" ht="36" customHeight="1">
      <c r="A21" s="712" t="s">
        <v>296</v>
      </c>
      <c r="B21" s="712"/>
      <c r="C21" s="712"/>
      <c r="D21" s="712"/>
      <c r="E21" s="712"/>
      <c r="F21" s="712"/>
      <c r="G21" s="162"/>
      <c r="H21" s="162"/>
      <c r="I21" s="162"/>
      <c r="J21" s="162"/>
      <c r="K21" s="162"/>
      <c r="L21" s="162"/>
      <c r="M21" s="162"/>
      <c r="N21" s="163"/>
      <c r="O21" s="788"/>
      <c r="P21" s="788"/>
      <c r="Q21" s="163"/>
    </row>
    <row r="22" spans="1:21" ht="16.5" customHeight="1">
      <c r="A22" s="216" t="s">
        <v>297</v>
      </c>
      <c r="B22" s="216" t="s">
        <v>107</v>
      </c>
      <c r="C22" s="216" t="s">
        <v>298</v>
      </c>
      <c r="D22" s="713" t="s">
        <v>299</v>
      </c>
      <c r="E22" s="713"/>
      <c r="F22" s="713"/>
      <c r="G22" s="713"/>
      <c r="H22" s="713"/>
      <c r="I22" s="713"/>
      <c r="J22" s="214"/>
      <c r="K22" s="162"/>
      <c r="L22" s="162"/>
      <c r="M22" s="162"/>
      <c r="N22" s="214"/>
      <c r="O22" s="789"/>
      <c r="P22" s="214"/>
      <c r="Q22" s="214"/>
      <c r="R22" s="151"/>
      <c r="S22" s="151"/>
      <c r="T22" s="151"/>
      <c r="U22" s="152"/>
    </row>
    <row r="23" spans="1:21" ht="64.5" customHeight="1">
      <c r="A23" s="216" t="s">
        <v>376</v>
      </c>
      <c r="B23" s="274">
        <v>42348</v>
      </c>
      <c r="C23" s="216" t="s">
        <v>377</v>
      </c>
      <c r="D23" s="714" t="s">
        <v>378</v>
      </c>
      <c r="E23" s="714"/>
      <c r="F23" s="714"/>
      <c r="G23" s="714"/>
      <c r="H23" s="714"/>
      <c r="I23" s="714"/>
      <c r="J23" s="214"/>
      <c r="K23" s="162"/>
      <c r="L23" s="162"/>
      <c r="M23" s="162"/>
      <c r="N23" s="214"/>
      <c r="O23" s="214"/>
      <c r="P23" s="214"/>
      <c r="Q23" s="214"/>
      <c r="R23" s="154"/>
      <c r="S23" s="154"/>
      <c r="T23" s="154"/>
      <c r="U23" s="152"/>
    </row>
    <row r="24" spans="1:21">
      <c r="A24" s="164"/>
      <c r="B24" s="164"/>
      <c r="C24" s="164"/>
      <c r="D24" s="164"/>
      <c r="E24" s="164"/>
      <c r="F24" s="164"/>
      <c r="G24" s="214"/>
      <c r="H24" s="214"/>
      <c r="I24" s="214"/>
      <c r="J24" s="214"/>
      <c r="K24" s="162"/>
      <c r="L24" s="162"/>
      <c r="M24" s="162"/>
      <c r="N24" s="214"/>
      <c r="O24" s="214"/>
      <c r="P24" s="214"/>
      <c r="Q24" s="214"/>
    </row>
    <row r="25" spans="1:21">
      <c r="A25" s="164"/>
      <c r="B25" s="164"/>
      <c r="C25" s="164"/>
      <c r="D25" s="164"/>
      <c r="E25" s="164"/>
      <c r="F25" s="164"/>
      <c r="G25" s="214"/>
      <c r="H25" s="214"/>
      <c r="I25" s="214"/>
      <c r="J25" s="214"/>
      <c r="K25" s="162"/>
      <c r="L25" s="162"/>
      <c r="M25" s="162"/>
      <c r="N25" s="214"/>
      <c r="O25" s="214"/>
      <c r="P25" s="214"/>
      <c r="Q25" s="214"/>
    </row>
    <row r="26" spans="1:21">
      <c r="A26" s="698" t="s">
        <v>179</v>
      </c>
      <c r="B26" s="698"/>
      <c r="C26" s="150" t="str">
        <f>возмещение!C17</f>
        <v>Директор</v>
      </c>
      <c r="D26" s="151"/>
      <c r="E26" s="150"/>
      <c r="F26" s="151"/>
      <c r="G26" s="722" t="str">
        <f>возмещение!G17</f>
        <v>Духанина Е.А.</v>
      </c>
      <c r="H26" s="722"/>
      <c r="I26" s="722"/>
      <c r="J26" s="151"/>
      <c r="K26" s="151"/>
      <c r="L26" s="151"/>
      <c r="M26" s="151"/>
      <c r="N26" s="151"/>
      <c r="O26" s="151"/>
      <c r="P26" s="151"/>
      <c r="Q26" s="151"/>
    </row>
    <row r="27" spans="1:21">
      <c r="A27" s="698" t="s">
        <v>180</v>
      </c>
      <c r="B27" s="698"/>
      <c r="C27" s="153" t="s">
        <v>181</v>
      </c>
      <c r="D27" s="154"/>
      <c r="E27" s="153" t="s">
        <v>119</v>
      </c>
      <c r="F27" s="154"/>
      <c r="G27" s="153" t="s">
        <v>120</v>
      </c>
      <c r="H27" s="153"/>
      <c r="I27" s="154"/>
      <c r="J27" s="154"/>
      <c r="K27" s="154"/>
      <c r="L27" s="154"/>
      <c r="M27" s="154"/>
      <c r="N27" s="154"/>
      <c r="O27" s="154"/>
      <c r="P27" s="154"/>
      <c r="Q27" s="154"/>
    </row>
    <row r="28" spans="1:21">
      <c r="A28" s="213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</row>
    <row r="29" spans="1:21">
      <c r="A29" s="212"/>
      <c r="B29" s="212"/>
      <c r="C29" s="150" t="str">
        <f>возмещение!C20</f>
        <v>Гл.Бухгалтер</v>
      </c>
      <c r="D29" s="151"/>
      <c r="E29" s="150" t="str">
        <f>возмещение!E20</f>
        <v>Варфоломеева Н.Ю.</v>
      </c>
      <c r="F29" s="151"/>
      <c r="G29" s="271" t="str">
        <f>возмещение!G20</f>
        <v>498409</v>
      </c>
      <c r="H29" s="150"/>
      <c r="I29" s="212"/>
      <c r="J29" s="212"/>
      <c r="K29" s="212"/>
      <c r="L29" s="212"/>
      <c r="M29" s="212"/>
      <c r="N29" s="212"/>
      <c r="O29" s="212"/>
      <c r="P29" s="212"/>
      <c r="Q29" s="212"/>
    </row>
    <row r="30" spans="1:21">
      <c r="A30" s="212" t="s">
        <v>182</v>
      </c>
      <c r="B30" s="212"/>
      <c r="C30" s="153" t="s">
        <v>181</v>
      </c>
      <c r="D30" s="154"/>
      <c r="E30" s="153" t="s">
        <v>183</v>
      </c>
      <c r="F30" s="154"/>
      <c r="G30" s="699" t="s">
        <v>184</v>
      </c>
      <c r="H30" s="699"/>
      <c r="I30" s="212"/>
      <c r="J30" s="212"/>
      <c r="K30" s="212"/>
      <c r="L30" s="212"/>
      <c r="M30" s="212"/>
      <c r="N30" s="212"/>
      <c r="O30" s="212"/>
      <c r="P30" s="212"/>
      <c r="Q30" s="212"/>
    </row>
    <row r="31" spans="1:21" ht="23.2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</row>
    <row r="32" spans="1:21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</row>
    <row r="33" spans="1:17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</row>
    <row r="34" spans="1:17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</row>
    <row r="35" spans="1:17">
      <c r="A35" s="700" t="str">
        <f>возмещение!A25</f>
        <v>"11" января 2021</v>
      </c>
      <c r="B35" s="700"/>
      <c r="C35" s="700"/>
      <c r="D35" s="700"/>
      <c r="E35" s="700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</row>
  </sheetData>
  <mergeCells count="18">
    <mergeCell ref="A26:B26"/>
    <mergeCell ref="G26:I26"/>
    <mergeCell ref="A27:B27"/>
    <mergeCell ref="G30:H30"/>
    <mergeCell ref="A35:E35"/>
    <mergeCell ref="A21:F21"/>
    <mergeCell ref="D22:I22"/>
    <mergeCell ref="D23:I23"/>
    <mergeCell ref="P1:Q1"/>
    <mergeCell ref="O2:Q2"/>
    <mergeCell ref="A3:Q3"/>
    <mergeCell ref="A4:A6"/>
    <mergeCell ref="B4:D4"/>
    <mergeCell ref="E4:H5"/>
    <mergeCell ref="I4:K5"/>
    <mergeCell ref="L4:N5"/>
    <mergeCell ref="O4:Q5"/>
    <mergeCell ref="B5:D5"/>
  </mergeCells>
  <pageMargins left="0.11811023622047245" right="0.11811023622047245" top="0.35433070866141736" bottom="0.35433070866141736" header="0.31496062992125984" footer="0.31496062992125984"/>
  <pageSetup paperSize="9" scale="5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4"/>
  <sheetViews>
    <sheetView showGridLines="0" view="pageBreakPreview" topLeftCell="A53" zoomScaleSheetLayoutView="100" workbookViewId="0">
      <selection activeCell="F79" sqref="F79"/>
    </sheetView>
  </sheetViews>
  <sheetFormatPr defaultRowHeight="15"/>
  <cols>
    <col min="1" max="1" width="8.85546875" style="18" customWidth="1"/>
    <col min="2" max="2" width="17.7109375" style="113" customWidth="1"/>
    <col min="3" max="3" width="14.28515625" style="113" customWidth="1"/>
    <col min="4" max="11" width="14" style="113" customWidth="1"/>
    <col min="12" max="16384" width="9.140625" style="18"/>
  </cols>
  <sheetData>
    <row r="1" spans="1:11" hidden="1">
      <c r="I1" s="114"/>
      <c r="J1" s="768" t="s">
        <v>201</v>
      </c>
      <c r="K1" s="768"/>
    </row>
    <row r="2" spans="1:11" ht="144" hidden="1" customHeight="1">
      <c r="I2" s="769" t="s">
        <v>202</v>
      </c>
      <c r="J2" s="769"/>
      <c r="K2" s="769"/>
    </row>
    <row r="3" spans="1:11" ht="43.5" customHeight="1">
      <c r="A3" s="770" t="s">
        <v>203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</row>
    <row r="6" spans="1:11">
      <c r="A6" s="771" t="s">
        <v>437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</row>
    <row r="8" spans="1:11">
      <c r="A8" s="471" t="s">
        <v>204</v>
      </c>
      <c r="B8" s="471"/>
      <c r="C8" s="341" t="str">
        <f>[1]вспомогательная!O57</f>
        <v>1210521010</v>
      </c>
    </row>
    <row r="10" spans="1:11">
      <c r="A10" s="471" t="s">
        <v>205</v>
      </c>
      <c r="B10" s="471"/>
      <c r="C10" s="471"/>
      <c r="D10" s="342" t="s">
        <v>300</v>
      </c>
    </row>
    <row r="11" spans="1:11">
      <c r="A11" s="115"/>
      <c r="B11" s="115"/>
      <c r="C11" s="115"/>
    </row>
    <row r="12" spans="1:11">
      <c r="A12" s="116" t="s">
        <v>206</v>
      </c>
      <c r="B12" s="117"/>
      <c r="C12" s="117"/>
      <c r="D12" s="117"/>
    </row>
    <row r="13" spans="1:11">
      <c r="A13" s="116" t="s">
        <v>207</v>
      </c>
      <c r="B13" s="117"/>
      <c r="C13" s="117"/>
      <c r="D13" s="117"/>
    </row>
    <row r="15" spans="1:11" s="118" customFormat="1" ht="25.5" customHeight="1">
      <c r="A15" s="766"/>
      <c r="B15" s="767" t="s">
        <v>208</v>
      </c>
      <c r="C15" s="767" t="s">
        <v>209</v>
      </c>
      <c r="D15" s="767" t="s">
        <v>210</v>
      </c>
      <c r="E15" s="767"/>
      <c r="F15" s="767"/>
      <c r="G15" s="767"/>
      <c r="H15" s="767" t="s">
        <v>211</v>
      </c>
      <c r="I15" s="767" t="s">
        <v>308</v>
      </c>
      <c r="J15" s="767" t="s">
        <v>309</v>
      </c>
      <c r="K15" s="767" t="s">
        <v>420</v>
      </c>
    </row>
    <row r="16" spans="1:11" s="118" customFormat="1" ht="12">
      <c r="A16" s="766"/>
      <c r="B16" s="767"/>
      <c r="C16" s="767"/>
      <c r="D16" s="766" t="s">
        <v>212</v>
      </c>
      <c r="E16" s="119" t="s">
        <v>29</v>
      </c>
      <c r="F16" s="119"/>
      <c r="G16" s="119"/>
      <c r="H16" s="767"/>
      <c r="I16" s="767"/>
      <c r="J16" s="767"/>
      <c r="K16" s="767"/>
    </row>
    <row r="17" spans="1:11" s="121" customFormat="1" ht="36">
      <c r="A17" s="766"/>
      <c r="B17" s="767"/>
      <c r="C17" s="767"/>
      <c r="D17" s="766"/>
      <c r="E17" s="120" t="s">
        <v>213</v>
      </c>
      <c r="F17" s="120" t="s">
        <v>214</v>
      </c>
      <c r="G17" s="120" t="s">
        <v>215</v>
      </c>
      <c r="H17" s="767"/>
      <c r="I17" s="767"/>
      <c r="J17" s="767"/>
      <c r="K17" s="767"/>
    </row>
    <row r="18" spans="1:11" s="123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123" customFormat="1">
      <c r="A19" s="122"/>
      <c r="B19" s="122" t="s">
        <v>419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4.75">
      <c r="A20" s="124">
        <v>1</v>
      </c>
      <c r="B20" s="120" t="s">
        <v>305</v>
      </c>
      <c r="C20" s="125">
        <v>1</v>
      </c>
      <c r="D20" s="125">
        <f>E20+F20+G20</f>
        <v>32618.01</v>
      </c>
      <c r="E20" s="125">
        <v>32618.01</v>
      </c>
      <c r="F20" s="125"/>
      <c r="G20" s="125"/>
      <c r="H20" s="125"/>
      <c r="I20" s="169">
        <f>ROUND((C20*D20+H20)*12,0)</f>
        <v>391416</v>
      </c>
      <c r="J20" s="343">
        <f>I20*1.01121</f>
        <v>395803.77335999999</v>
      </c>
      <c r="K20" s="343">
        <f>J20*1.044789</f>
        <v>413531.42856502102</v>
      </c>
    </row>
    <row r="21" spans="1:11">
      <c r="A21" s="124">
        <v>2</v>
      </c>
      <c r="B21" s="120" t="s">
        <v>306</v>
      </c>
      <c r="C21" s="125"/>
      <c r="D21" s="125">
        <f t="shared" ref="D21" si="0">E21+F21+G21</f>
        <v>0</v>
      </c>
      <c r="E21" s="125"/>
      <c r="F21" s="125"/>
      <c r="G21" s="125"/>
      <c r="H21" s="125"/>
      <c r="I21" s="125">
        <f t="shared" ref="I21:I29" si="1">C21*D21+H21</f>
        <v>0</v>
      </c>
      <c r="J21" s="343"/>
      <c r="K21" s="343"/>
    </row>
    <row r="22" spans="1:11">
      <c r="A22" s="124">
        <v>3</v>
      </c>
      <c r="B22" s="120" t="s">
        <v>307</v>
      </c>
      <c r="C22" s="125">
        <v>4.8</v>
      </c>
      <c r="D22" s="125">
        <f>E22+F22+G22</f>
        <v>15428.09</v>
      </c>
      <c r="E22" s="125">
        <v>12838.47</v>
      </c>
      <c r="F22" s="125">
        <f>F12</f>
        <v>0</v>
      </c>
      <c r="G22" s="125">
        <v>2589.62</v>
      </c>
      <c r="H22" s="125"/>
      <c r="I22" s="169">
        <f>ROUND((C22*D22+H22)*12,0)-2</f>
        <v>888656</v>
      </c>
      <c r="J22" s="343">
        <f>I22*1.01121+0.39</f>
        <v>898618.22375999996</v>
      </c>
      <c r="K22" s="343">
        <f>J22*1.044789+0.14</f>
        <v>938866.57538398658</v>
      </c>
    </row>
    <row r="23" spans="1:11" hidden="1">
      <c r="A23" s="122"/>
      <c r="B23" s="122"/>
      <c r="C23" s="122"/>
      <c r="D23" s="125">
        <f t="shared" ref="D23:D29" si="2">E23+F23+G23</f>
        <v>0</v>
      </c>
      <c r="E23" s="125"/>
      <c r="F23" s="125"/>
      <c r="G23" s="125"/>
      <c r="H23" s="125"/>
      <c r="I23" s="169"/>
      <c r="J23" s="169"/>
      <c r="K23" s="169"/>
    </row>
    <row r="24" spans="1:11" hidden="1">
      <c r="A24" s="124"/>
      <c r="B24" s="165"/>
      <c r="C24" s="125"/>
      <c r="D24" s="125">
        <f t="shared" si="2"/>
        <v>0</v>
      </c>
      <c r="E24" s="125"/>
      <c r="F24" s="125"/>
      <c r="G24" s="125"/>
      <c r="H24" s="125"/>
      <c r="I24" s="169">
        <f t="shared" si="1"/>
        <v>0</v>
      </c>
      <c r="J24" s="169"/>
      <c r="K24" s="169"/>
    </row>
    <row r="25" spans="1:11" hidden="1">
      <c r="A25" s="124"/>
      <c r="B25" s="165"/>
      <c r="C25" s="125"/>
      <c r="D25" s="125">
        <f t="shared" si="2"/>
        <v>0</v>
      </c>
      <c r="E25" s="125"/>
      <c r="F25" s="125"/>
      <c r="G25" s="125"/>
      <c r="H25" s="125"/>
      <c r="I25" s="169">
        <f t="shared" si="1"/>
        <v>0</v>
      </c>
      <c r="J25" s="169"/>
      <c r="K25" s="169"/>
    </row>
    <row r="26" spans="1:11" hidden="1">
      <c r="A26" s="124"/>
      <c r="B26" s="165"/>
      <c r="C26" s="125"/>
      <c r="D26" s="125">
        <f t="shared" si="2"/>
        <v>0</v>
      </c>
      <c r="E26" s="125"/>
      <c r="F26" s="125"/>
      <c r="G26" s="125"/>
      <c r="H26" s="125"/>
      <c r="I26" s="169">
        <f t="shared" si="1"/>
        <v>0</v>
      </c>
      <c r="J26" s="169"/>
      <c r="K26" s="169"/>
    </row>
    <row r="27" spans="1:11" hidden="1">
      <c r="A27" s="124"/>
      <c r="B27" s="165"/>
      <c r="C27" s="125"/>
      <c r="D27" s="125">
        <f t="shared" si="2"/>
        <v>0</v>
      </c>
      <c r="E27" s="125"/>
      <c r="F27" s="125"/>
      <c r="G27" s="125"/>
      <c r="H27" s="125"/>
      <c r="I27" s="169">
        <f t="shared" si="1"/>
        <v>0</v>
      </c>
      <c r="J27" s="169"/>
      <c r="K27" s="169"/>
    </row>
    <row r="28" spans="1:11" hidden="1">
      <c r="A28" s="124"/>
      <c r="B28" s="165"/>
      <c r="C28" s="125"/>
      <c r="D28" s="125">
        <f t="shared" si="2"/>
        <v>0</v>
      </c>
      <c r="E28" s="125"/>
      <c r="F28" s="125"/>
      <c r="G28" s="125"/>
      <c r="H28" s="125"/>
      <c r="I28" s="169">
        <f t="shared" si="1"/>
        <v>0</v>
      </c>
      <c r="J28" s="169"/>
      <c r="K28" s="169"/>
    </row>
    <row r="29" spans="1:11" hidden="1">
      <c r="A29" s="124"/>
      <c r="B29" s="165"/>
      <c r="C29" s="125"/>
      <c r="D29" s="125">
        <f t="shared" si="2"/>
        <v>0</v>
      </c>
      <c r="E29" s="125"/>
      <c r="F29" s="125"/>
      <c r="G29" s="125"/>
      <c r="H29" s="125"/>
      <c r="I29" s="169">
        <f t="shared" si="1"/>
        <v>0</v>
      </c>
      <c r="J29" s="169"/>
      <c r="K29" s="169"/>
    </row>
    <row r="30" spans="1:11" s="168" customFormat="1">
      <c r="A30" s="166" t="s">
        <v>216</v>
      </c>
      <c r="B30" s="167"/>
      <c r="C30" s="167"/>
      <c r="D30" s="167"/>
      <c r="E30" s="167"/>
      <c r="F30" s="167"/>
      <c r="G30" s="167"/>
      <c r="H30" s="167"/>
      <c r="I30" s="170">
        <f>SUM(I20:I29)</f>
        <v>1280072</v>
      </c>
      <c r="J30" s="170">
        <f t="shared" ref="J30:K30" si="3">SUM(J20:J29)</f>
        <v>1294421.99712</v>
      </c>
      <c r="K30" s="170">
        <f t="shared" si="3"/>
        <v>1352398.0039490075</v>
      </c>
    </row>
    <row r="32" spans="1:11" s="67" customFormat="1" ht="14.25" hidden="1">
      <c r="A32" s="67" t="s">
        <v>217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idden="1"/>
    <row r="34" spans="1:11" s="118" customFormat="1" ht="57" hidden="1" customHeight="1">
      <c r="A34" s="126" t="s">
        <v>218</v>
      </c>
      <c r="B34" s="120" t="s">
        <v>219</v>
      </c>
      <c r="C34" s="120" t="s">
        <v>220</v>
      </c>
      <c r="D34" s="120" t="s">
        <v>221</v>
      </c>
      <c r="E34" s="120" t="s">
        <v>222</v>
      </c>
      <c r="F34" s="120" t="s">
        <v>223</v>
      </c>
      <c r="G34" s="120" t="s">
        <v>223</v>
      </c>
      <c r="H34" s="120" t="s">
        <v>223</v>
      </c>
      <c r="I34" s="127"/>
      <c r="J34" s="127"/>
      <c r="K34" s="127"/>
    </row>
    <row r="35" spans="1:11" s="123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4" spans="1:11" ht="44.25" customHeight="1">
      <c r="A44" s="763" t="s">
        <v>224</v>
      </c>
      <c r="B44" s="763"/>
      <c r="C44" s="763"/>
      <c r="D44" s="763"/>
      <c r="E44" s="763"/>
      <c r="F44" s="763"/>
      <c r="G44" s="763"/>
      <c r="H44" s="763"/>
    </row>
    <row r="46" spans="1:11" ht="48.75">
      <c r="A46" s="126" t="s">
        <v>218</v>
      </c>
      <c r="B46" s="733" t="s">
        <v>225</v>
      </c>
      <c r="C46" s="764"/>
      <c r="D46" s="734"/>
      <c r="E46" s="120" t="s">
        <v>226</v>
      </c>
      <c r="F46" s="120" t="s">
        <v>301</v>
      </c>
      <c r="G46" s="120" t="s">
        <v>302</v>
      </c>
      <c r="H46" s="120" t="s">
        <v>421</v>
      </c>
    </row>
    <row r="47" spans="1:11">
      <c r="A47" s="122">
        <v>1</v>
      </c>
      <c r="B47" s="725">
        <v>2</v>
      </c>
      <c r="C47" s="765"/>
      <c r="D47" s="726"/>
      <c r="E47" s="122">
        <v>3</v>
      </c>
      <c r="F47" s="122">
        <v>4</v>
      </c>
      <c r="G47" s="122">
        <v>5</v>
      </c>
      <c r="H47" s="122">
        <v>6</v>
      </c>
    </row>
    <row r="48" spans="1:11" ht="30" customHeight="1">
      <c r="A48" s="124">
        <v>1</v>
      </c>
      <c r="B48" s="759" t="s">
        <v>227</v>
      </c>
      <c r="C48" s="760"/>
      <c r="D48" s="761"/>
      <c r="E48" s="169"/>
      <c r="F48" s="169">
        <f>F50</f>
        <v>281616</v>
      </c>
      <c r="G48" s="169">
        <f t="shared" ref="G48" si="4">G50</f>
        <v>284772</v>
      </c>
      <c r="H48" s="169">
        <f t="shared" ref="H48" si="5">H50</f>
        <v>297526</v>
      </c>
    </row>
    <row r="49" spans="1:11" ht="21" customHeight="1">
      <c r="A49" s="124"/>
      <c r="B49" s="759" t="s">
        <v>29</v>
      </c>
      <c r="C49" s="760"/>
      <c r="D49" s="761"/>
      <c r="E49" s="169"/>
      <c r="F49" s="169"/>
      <c r="G49" s="169"/>
      <c r="H49" s="169"/>
    </row>
    <row r="50" spans="1:11" ht="21" customHeight="1">
      <c r="A50" s="130"/>
      <c r="B50" s="759" t="s">
        <v>228</v>
      </c>
      <c r="C50" s="760"/>
      <c r="D50" s="761"/>
      <c r="E50" s="169">
        <f>I22+I20</f>
        <v>1280072</v>
      </c>
      <c r="F50" s="169">
        <f>ROUND(E50*0.22,0)</f>
        <v>281616</v>
      </c>
      <c r="G50" s="169">
        <f>ROUND(J30*0.22,0)-1</f>
        <v>284772</v>
      </c>
      <c r="H50" s="169">
        <f>ROUND(K30*0.22,0)-2</f>
        <v>297526</v>
      </c>
    </row>
    <row r="51" spans="1:11" ht="27.75" customHeight="1">
      <c r="A51" s="124">
        <v>2</v>
      </c>
      <c r="B51" s="759" t="s">
        <v>229</v>
      </c>
      <c r="C51" s="760"/>
      <c r="D51" s="761"/>
      <c r="E51" s="169"/>
      <c r="F51" s="169">
        <f>F52+F53</f>
        <v>39682</v>
      </c>
      <c r="G51" s="169">
        <f t="shared" ref="G51:H51" si="6">G52+G53</f>
        <v>40127</v>
      </c>
      <c r="H51" s="169">
        <f t="shared" si="6"/>
        <v>41925</v>
      </c>
    </row>
    <row r="52" spans="1:11" ht="42" customHeight="1">
      <c r="A52" s="124"/>
      <c r="B52" s="759" t="s">
        <v>230</v>
      </c>
      <c r="C52" s="760"/>
      <c r="D52" s="761"/>
      <c r="E52" s="169">
        <f>E50</f>
        <v>1280072</v>
      </c>
      <c r="F52" s="169">
        <f>ROUND(E52*0.029,0)</f>
        <v>37122</v>
      </c>
      <c r="G52" s="169">
        <f>ROUND(J30*0.029,0)</f>
        <v>37538</v>
      </c>
      <c r="H52" s="169">
        <f>ROUND(K30*0.029,0)</f>
        <v>39220</v>
      </c>
    </row>
    <row r="53" spans="1:11" ht="39" customHeight="1">
      <c r="A53" s="124"/>
      <c r="B53" s="759" t="s">
        <v>231</v>
      </c>
      <c r="C53" s="760"/>
      <c r="D53" s="761"/>
      <c r="E53" s="169">
        <f>E52</f>
        <v>1280072</v>
      </c>
      <c r="F53" s="169">
        <f>ROUND(E53*0.002,0)</f>
        <v>2560</v>
      </c>
      <c r="G53" s="169">
        <f>ROUND(J30*0.002,0)</f>
        <v>2589</v>
      </c>
      <c r="H53" s="169">
        <f>ROUND(K30*0.002,0)</f>
        <v>2705</v>
      </c>
    </row>
    <row r="54" spans="1:11" ht="35.25" customHeight="1">
      <c r="A54" s="124">
        <v>3</v>
      </c>
      <c r="B54" s="759" t="s">
        <v>232</v>
      </c>
      <c r="C54" s="760"/>
      <c r="D54" s="761"/>
      <c r="E54" s="169">
        <f>E53</f>
        <v>1280072</v>
      </c>
      <c r="F54" s="169">
        <f>ROUND(E54*0.051,0)</f>
        <v>65284</v>
      </c>
      <c r="G54" s="169">
        <f>ROUND(J30*0.051,0)</f>
        <v>66016</v>
      </c>
      <c r="H54" s="169">
        <f>ROUND(K30*0.051,0)+1</f>
        <v>68973</v>
      </c>
    </row>
    <row r="55" spans="1:11" s="168" customFormat="1">
      <c r="A55" s="166"/>
      <c r="B55" s="762" t="s">
        <v>216</v>
      </c>
      <c r="C55" s="762"/>
      <c r="D55" s="762"/>
      <c r="E55" s="170"/>
      <c r="F55" s="170">
        <f>F48+F51+F54</f>
        <v>386582</v>
      </c>
      <c r="G55" s="170">
        <f t="shared" ref="G55:H55" si="7">G48+G51+G54</f>
        <v>390915</v>
      </c>
      <c r="H55" s="170">
        <f t="shared" si="7"/>
        <v>408424</v>
      </c>
      <c r="I55" s="171"/>
      <c r="J55" s="171"/>
      <c r="K55" s="171"/>
    </row>
    <row r="56" spans="1:11">
      <c r="E56" s="344"/>
      <c r="F56" s="345"/>
      <c r="G56" s="345"/>
      <c r="H56" s="345"/>
    </row>
    <row r="57" spans="1:11" s="67" customFormat="1" ht="14.25" hidden="1">
      <c r="A57" s="67" t="s">
        <v>233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218</v>
      </c>
      <c r="B59" s="733" t="s">
        <v>0</v>
      </c>
      <c r="C59" s="734"/>
      <c r="D59" s="120" t="s">
        <v>234</v>
      </c>
      <c r="E59" s="120" t="s">
        <v>235</v>
      </c>
      <c r="F59" s="120" t="s">
        <v>303</v>
      </c>
      <c r="G59" s="120" t="s">
        <v>304</v>
      </c>
      <c r="H59" s="120" t="s">
        <v>422</v>
      </c>
    </row>
    <row r="60" spans="1:11" hidden="1">
      <c r="A60" s="122">
        <v>1</v>
      </c>
      <c r="B60" s="725">
        <v>2</v>
      </c>
      <c r="C60" s="726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725" t="s">
        <v>310</v>
      </c>
      <c r="C61" s="726"/>
      <c r="D61" s="125"/>
      <c r="E61" s="125"/>
      <c r="F61" s="169">
        <f>D61*E61</f>
        <v>0</v>
      </c>
      <c r="G61" s="169"/>
      <c r="H61" s="169"/>
    </row>
    <row r="62" spans="1:11" hidden="1">
      <c r="A62" s="124">
        <v>2</v>
      </c>
      <c r="B62" s="725" t="s">
        <v>352</v>
      </c>
      <c r="C62" s="726"/>
      <c r="D62" s="125"/>
      <c r="E62" s="125"/>
      <c r="F62" s="169">
        <f t="shared" ref="F62:F66" si="8">D62*E62</f>
        <v>0</v>
      </c>
      <c r="G62" s="169"/>
      <c r="H62" s="169"/>
    </row>
    <row r="63" spans="1:11" hidden="1">
      <c r="A63" s="124"/>
      <c r="B63" s="725"/>
      <c r="C63" s="726"/>
      <c r="D63" s="125"/>
      <c r="E63" s="125"/>
      <c r="F63" s="169">
        <f t="shared" si="8"/>
        <v>0</v>
      </c>
      <c r="G63" s="169"/>
      <c r="H63" s="169"/>
    </row>
    <row r="64" spans="1:11" hidden="1">
      <c r="A64" s="124"/>
      <c r="B64" s="725"/>
      <c r="C64" s="726"/>
      <c r="D64" s="125"/>
      <c r="E64" s="125"/>
      <c r="F64" s="169">
        <f t="shared" si="8"/>
        <v>0</v>
      </c>
      <c r="G64" s="169"/>
      <c r="H64" s="169"/>
    </row>
    <row r="65" spans="1:11" hidden="1">
      <c r="A65" s="124"/>
      <c r="B65" s="725"/>
      <c r="C65" s="726"/>
      <c r="D65" s="125"/>
      <c r="E65" s="125"/>
      <c r="F65" s="169">
        <f t="shared" si="8"/>
        <v>0</v>
      </c>
      <c r="G65" s="169"/>
      <c r="H65" s="169"/>
    </row>
    <row r="66" spans="1:11" hidden="1">
      <c r="A66" s="124"/>
      <c r="B66" s="725"/>
      <c r="C66" s="726"/>
      <c r="D66" s="125"/>
      <c r="E66" s="125"/>
      <c r="F66" s="169">
        <f t="shared" si="8"/>
        <v>0</v>
      </c>
      <c r="G66" s="169"/>
      <c r="H66" s="169"/>
    </row>
    <row r="67" spans="1:11" s="168" customFormat="1" hidden="1">
      <c r="A67" s="166"/>
      <c r="B67" s="727" t="s">
        <v>216</v>
      </c>
      <c r="C67" s="728"/>
      <c r="D67" s="167"/>
      <c r="E67" s="167"/>
      <c r="F67" s="170">
        <f>SUM(F61:F66)</f>
        <v>0</v>
      </c>
      <c r="G67" s="170">
        <f t="shared" ref="G67:H67" si="9">SUM(G61:G66)</f>
        <v>0</v>
      </c>
      <c r="H67" s="170">
        <f t="shared" si="9"/>
        <v>0</v>
      </c>
      <c r="I67" s="171"/>
      <c r="J67" s="171"/>
      <c r="K67" s="171"/>
    </row>
    <row r="68" spans="1:11" hidden="1"/>
    <row r="69" spans="1:11" s="67" customFormat="1" ht="14.25">
      <c r="A69" s="67" t="s">
        <v>236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1" spans="1:11" ht="72.75">
      <c r="A71" s="126" t="s">
        <v>218</v>
      </c>
      <c r="B71" s="733" t="s">
        <v>237</v>
      </c>
      <c r="C71" s="734"/>
      <c r="D71" s="120" t="s">
        <v>238</v>
      </c>
      <c r="E71" s="120" t="s">
        <v>239</v>
      </c>
      <c r="F71" s="120" t="s">
        <v>423</v>
      </c>
      <c r="G71" s="120" t="s">
        <v>424</v>
      </c>
      <c r="H71" s="120" t="s">
        <v>425</v>
      </c>
    </row>
    <row r="72" spans="1:11">
      <c r="A72" s="122">
        <v>1</v>
      </c>
      <c r="B72" s="725">
        <v>2</v>
      </c>
      <c r="C72" s="726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>
      <c r="A73" s="124">
        <v>1</v>
      </c>
      <c r="B73" s="756" t="s">
        <v>311</v>
      </c>
      <c r="C73" s="757"/>
      <c r="D73" s="125">
        <v>7883723.2800000003</v>
      </c>
      <c r="E73" s="174">
        <v>1.4999999999999999E-2</v>
      </c>
      <c r="F73" s="169">
        <f>ROUND(D73*E73,0)-4505</f>
        <v>113751</v>
      </c>
      <c r="G73" s="169">
        <v>115891</v>
      </c>
      <c r="H73" s="169">
        <v>220751</v>
      </c>
    </row>
    <row r="74" spans="1:11">
      <c r="A74" s="124">
        <v>2</v>
      </c>
      <c r="B74" s="756" t="s">
        <v>479</v>
      </c>
      <c r="C74" s="757"/>
      <c r="D74" s="125">
        <v>2694650</v>
      </c>
      <c r="E74" s="174">
        <v>2.1999999999999999E-2</v>
      </c>
      <c r="F74" s="169">
        <f>ROUND(D74*E74,0)</f>
        <v>59282</v>
      </c>
      <c r="G74" s="169">
        <v>0</v>
      </c>
      <c r="H74" s="169">
        <f>G74</f>
        <v>0</v>
      </c>
    </row>
    <row r="75" spans="1:11">
      <c r="A75" s="124">
        <v>3</v>
      </c>
      <c r="B75" s="756" t="s">
        <v>480</v>
      </c>
      <c r="C75" s="757"/>
      <c r="D75" s="125">
        <v>3181180</v>
      </c>
      <c r="E75" s="174">
        <v>1.4999999999999999E-2</v>
      </c>
      <c r="F75" s="169">
        <f>96363-48645</f>
        <v>47718</v>
      </c>
      <c r="G75" s="169">
        <v>0</v>
      </c>
      <c r="H75" s="169">
        <v>0</v>
      </c>
    </row>
    <row r="76" spans="1:11" hidden="1">
      <c r="A76" s="124"/>
      <c r="B76" s="725"/>
      <c r="C76" s="726"/>
      <c r="D76" s="125"/>
      <c r="E76" s="125"/>
      <c r="F76" s="169"/>
      <c r="G76" s="169"/>
      <c r="H76" s="169"/>
    </row>
    <row r="77" spans="1:11" hidden="1">
      <c r="A77" s="124"/>
      <c r="B77" s="725"/>
      <c r="C77" s="726"/>
      <c r="D77" s="125"/>
      <c r="E77" s="125"/>
      <c r="F77" s="169"/>
      <c r="G77" s="169"/>
      <c r="H77" s="169"/>
    </row>
    <row r="78" spans="1:11" hidden="1">
      <c r="A78" s="124"/>
      <c r="B78" s="725"/>
      <c r="C78" s="726"/>
      <c r="D78" s="125"/>
      <c r="E78" s="125"/>
      <c r="F78" s="169"/>
      <c r="G78" s="169"/>
      <c r="H78" s="169"/>
    </row>
    <row r="79" spans="1:11" s="168" customFormat="1">
      <c r="A79" s="166"/>
      <c r="B79" s="727" t="s">
        <v>216</v>
      </c>
      <c r="C79" s="728"/>
      <c r="D79" s="167"/>
      <c r="E79" s="167"/>
      <c r="F79" s="170">
        <f>SUM(F73:F78)</f>
        <v>220751</v>
      </c>
      <c r="G79" s="170">
        <f t="shared" ref="G79:H79" si="10">SUM(G73:G78)</f>
        <v>115891</v>
      </c>
      <c r="H79" s="170">
        <f t="shared" si="10"/>
        <v>220751</v>
      </c>
      <c r="I79" s="171">
        <f>220751+19631</f>
        <v>240382</v>
      </c>
      <c r="J79" s="438"/>
      <c r="K79" s="171"/>
    </row>
    <row r="81" spans="1:11" ht="28.5" hidden="1" customHeight="1">
      <c r="A81" s="758" t="s">
        <v>240</v>
      </c>
      <c r="B81" s="758"/>
      <c r="C81" s="758"/>
      <c r="D81" s="758"/>
      <c r="E81" s="758"/>
      <c r="F81" s="758"/>
      <c r="G81" s="758"/>
      <c r="H81" s="758"/>
    </row>
    <row r="82" spans="1:11" hidden="1"/>
    <row r="83" spans="1:11" ht="39.75" hidden="1" customHeight="1">
      <c r="A83" s="126" t="s">
        <v>218</v>
      </c>
      <c r="B83" s="733" t="s">
        <v>0</v>
      </c>
      <c r="C83" s="734"/>
      <c r="D83" s="120" t="s">
        <v>241</v>
      </c>
      <c r="E83" s="120" t="s">
        <v>235</v>
      </c>
      <c r="F83" s="120" t="s">
        <v>242</v>
      </c>
      <c r="G83" s="120" t="s">
        <v>242</v>
      </c>
      <c r="H83" s="120" t="s">
        <v>242</v>
      </c>
    </row>
    <row r="84" spans="1:11" hidden="1">
      <c r="A84" s="122">
        <v>1</v>
      </c>
      <c r="B84" s="725">
        <v>2</v>
      </c>
      <c r="C84" s="726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725"/>
      <c r="C85" s="726"/>
      <c r="D85" s="125"/>
      <c r="E85" s="125"/>
      <c r="F85" s="125"/>
      <c r="G85" s="125"/>
      <c r="H85" s="125"/>
    </row>
    <row r="86" spans="1:11" hidden="1">
      <c r="A86" s="124"/>
      <c r="B86" s="725"/>
      <c r="C86" s="726"/>
      <c r="D86" s="125"/>
      <c r="E86" s="125"/>
      <c r="F86" s="125"/>
      <c r="G86" s="125"/>
      <c r="H86" s="125"/>
    </row>
    <row r="87" spans="1:11" hidden="1">
      <c r="A87" s="124"/>
      <c r="B87" s="725"/>
      <c r="C87" s="726"/>
      <c r="D87" s="125"/>
      <c r="E87" s="125"/>
      <c r="F87" s="125"/>
      <c r="G87" s="125"/>
      <c r="H87" s="125"/>
    </row>
    <row r="88" spans="1:11" hidden="1">
      <c r="A88" s="124"/>
      <c r="B88" s="725"/>
      <c r="C88" s="726"/>
      <c r="D88" s="125"/>
      <c r="E88" s="125"/>
      <c r="F88" s="125"/>
      <c r="G88" s="125"/>
      <c r="H88" s="125"/>
    </row>
    <row r="89" spans="1:11" hidden="1">
      <c r="A89" s="124"/>
      <c r="B89" s="725"/>
      <c r="C89" s="726"/>
      <c r="D89" s="125"/>
      <c r="E89" s="125"/>
      <c r="F89" s="125"/>
      <c r="G89" s="125"/>
      <c r="H89" s="125"/>
    </row>
    <row r="90" spans="1:11" hidden="1">
      <c r="A90" s="124"/>
      <c r="B90" s="725"/>
      <c r="C90" s="726"/>
      <c r="D90" s="125"/>
      <c r="E90" s="125"/>
      <c r="F90" s="125"/>
      <c r="G90" s="125"/>
      <c r="H90" s="125"/>
    </row>
    <row r="91" spans="1:11" hidden="1">
      <c r="A91" s="124"/>
      <c r="B91" s="725" t="s">
        <v>216</v>
      </c>
      <c r="C91" s="726"/>
      <c r="D91" s="125"/>
      <c r="E91" s="125"/>
      <c r="F91" s="125"/>
      <c r="G91" s="125"/>
      <c r="H91" s="125"/>
    </row>
    <row r="92" spans="1:11" hidden="1"/>
    <row r="93" spans="1:11" s="67" customFormat="1" ht="14.25" customHeight="1">
      <c r="A93" s="67" t="s">
        <v>243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customHeight="1">
      <c r="A94" s="67" t="s">
        <v>244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6" spans="1:11" ht="24.75">
      <c r="A96" s="126" t="s">
        <v>218</v>
      </c>
      <c r="B96" s="733" t="s">
        <v>313</v>
      </c>
      <c r="C96" s="734"/>
      <c r="D96" s="120" t="s">
        <v>245</v>
      </c>
      <c r="E96" s="120" t="s">
        <v>246</v>
      </c>
      <c r="F96" s="120" t="s">
        <v>247</v>
      </c>
      <c r="G96" s="120" t="s">
        <v>303</v>
      </c>
      <c r="H96" s="120" t="s">
        <v>304</v>
      </c>
      <c r="I96" s="120" t="s">
        <v>422</v>
      </c>
    </row>
    <row r="97" spans="1:11">
      <c r="A97" s="122">
        <v>1</v>
      </c>
      <c r="B97" s="725">
        <v>2</v>
      </c>
      <c r="C97" s="726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>
      <c r="A98" s="124"/>
      <c r="B98" s="756"/>
      <c r="C98" s="757"/>
      <c r="D98" s="125"/>
      <c r="E98" s="125"/>
      <c r="F98" s="125"/>
      <c r="G98" s="169"/>
      <c r="H98" s="169"/>
      <c r="I98" s="169"/>
    </row>
    <row r="99" spans="1:11">
      <c r="A99" s="124"/>
      <c r="B99" s="756" t="s">
        <v>314</v>
      </c>
      <c r="C99" s="757"/>
      <c r="D99" s="125">
        <v>1</v>
      </c>
      <c r="E99" s="125">
        <v>12</v>
      </c>
      <c r="F99" s="125">
        <v>252</v>
      </c>
      <c r="G99" s="169">
        <f>D99*E99*F99</f>
        <v>3024</v>
      </c>
      <c r="H99" s="169">
        <f t="shared" ref="H99:I101" si="11">G99</f>
        <v>3024</v>
      </c>
      <c r="I99" s="169">
        <f t="shared" si="11"/>
        <v>3024</v>
      </c>
    </row>
    <row r="100" spans="1:11">
      <c r="A100" s="124"/>
      <c r="B100" s="172" t="s">
        <v>315</v>
      </c>
      <c r="C100" s="173"/>
      <c r="D100" s="125">
        <v>8580</v>
      </c>
      <c r="E100" s="125">
        <v>1</v>
      </c>
      <c r="F100" s="125">
        <v>0.65</v>
      </c>
      <c r="G100" s="169">
        <f t="shared" ref="G100:G101" si="12">D100*E100*F100</f>
        <v>5577</v>
      </c>
      <c r="H100" s="169">
        <f t="shared" si="11"/>
        <v>5577</v>
      </c>
      <c r="I100" s="169">
        <f t="shared" si="11"/>
        <v>5577</v>
      </c>
    </row>
    <row r="101" spans="1:11">
      <c r="A101" s="124"/>
      <c r="B101" s="172" t="s">
        <v>316</v>
      </c>
      <c r="C101" s="173"/>
      <c r="D101" s="125">
        <v>1</v>
      </c>
      <c r="E101" s="125">
        <v>12</v>
      </c>
      <c r="F101" s="125">
        <v>1136</v>
      </c>
      <c r="G101" s="169">
        <f t="shared" si="12"/>
        <v>13632</v>
      </c>
      <c r="H101" s="169">
        <f t="shared" si="11"/>
        <v>13632</v>
      </c>
      <c r="I101" s="169">
        <f t="shared" si="11"/>
        <v>13632</v>
      </c>
    </row>
    <row r="102" spans="1:11" hidden="1">
      <c r="A102" s="124"/>
      <c r="B102" s="725"/>
      <c r="C102" s="726"/>
      <c r="D102" s="125"/>
      <c r="E102" s="125"/>
      <c r="F102" s="125"/>
      <c r="G102" s="169"/>
      <c r="H102" s="169"/>
      <c r="I102" s="169"/>
    </row>
    <row r="103" spans="1:11" hidden="1">
      <c r="A103" s="124"/>
      <c r="B103" s="725"/>
      <c r="C103" s="726"/>
      <c r="D103" s="125"/>
      <c r="E103" s="125"/>
      <c r="F103" s="125"/>
      <c r="G103" s="169"/>
      <c r="H103" s="169"/>
      <c r="I103" s="169"/>
    </row>
    <row r="104" spans="1:11" s="168" customFormat="1">
      <c r="A104" s="166"/>
      <c r="B104" s="727" t="s">
        <v>216</v>
      </c>
      <c r="C104" s="728"/>
      <c r="D104" s="167"/>
      <c r="E104" s="167"/>
      <c r="F104" s="167"/>
      <c r="G104" s="170">
        <f>ROUND(SUM(G98:G103),0)</f>
        <v>22233</v>
      </c>
      <c r="H104" s="170">
        <f t="shared" ref="H104:I104" si="13">SUM(H98:H103)</f>
        <v>22233</v>
      </c>
      <c r="I104" s="170">
        <f t="shared" si="13"/>
        <v>22233</v>
      </c>
      <c r="J104" s="171"/>
      <c r="K104" s="171"/>
    </row>
    <row r="106" spans="1:11" s="67" customFormat="1" ht="14.25" hidden="1">
      <c r="A106" s="67" t="s">
        <v>248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218</v>
      </c>
      <c r="B108" s="733" t="s">
        <v>237</v>
      </c>
      <c r="C108" s="734"/>
      <c r="D108" s="120" t="s">
        <v>249</v>
      </c>
      <c r="E108" s="120" t="s">
        <v>250</v>
      </c>
      <c r="F108" s="120" t="s">
        <v>303</v>
      </c>
      <c r="G108" s="120" t="s">
        <v>304</v>
      </c>
      <c r="H108" s="120" t="s">
        <v>422</v>
      </c>
    </row>
    <row r="109" spans="1:11" hidden="1">
      <c r="A109" s="122">
        <v>1</v>
      </c>
      <c r="B109" s="725">
        <v>2</v>
      </c>
      <c r="C109" s="726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725"/>
      <c r="C110" s="726"/>
      <c r="D110" s="125"/>
      <c r="E110" s="125"/>
      <c r="F110" s="125">
        <f>D110*E110</f>
        <v>0</v>
      </c>
      <c r="G110" s="125"/>
      <c r="H110" s="125"/>
    </row>
    <row r="111" spans="1:11" hidden="1">
      <c r="A111" s="124"/>
      <c r="B111" s="725"/>
      <c r="C111" s="726"/>
      <c r="D111" s="125"/>
      <c r="E111" s="125"/>
      <c r="F111" s="125">
        <f t="shared" ref="F111:F115" si="14">D111*E111</f>
        <v>0</v>
      </c>
      <c r="G111" s="125"/>
      <c r="H111" s="125"/>
    </row>
    <row r="112" spans="1:11" hidden="1">
      <c r="A112" s="124"/>
      <c r="B112" s="725"/>
      <c r="C112" s="726"/>
      <c r="D112" s="125"/>
      <c r="E112" s="125"/>
      <c r="F112" s="125">
        <f t="shared" si="14"/>
        <v>0</v>
      </c>
      <c r="G112" s="125"/>
      <c r="H112" s="125"/>
    </row>
    <row r="113" spans="1:11" hidden="1">
      <c r="A113" s="124"/>
      <c r="B113" s="725"/>
      <c r="C113" s="726"/>
      <c r="D113" s="125"/>
      <c r="E113" s="125"/>
      <c r="F113" s="125">
        <f t="shared" si="14"/>
        <v>0</v>
      </c>
      <c r="G113" s="125"/>
      <c r="H113" s="125"/>
    </row>
    <row r="114" spans="1:11" hidden="1">
      <c r="A114" s="124"/>
      <c r="B114" s="725"/>
      <c r="C114" s="726"/>
      <c r="D114" s="125"/>
      <c r="E114" s="125"/>
      <c r="F114" s="125">
        <f t="shared" si="14"/>
        <v>0</v>
      </c>
      <c r="G114" s="125"/>
      <c r="H114" s="125"/>
    </row>
    <row r="115" spans="1:11" hidden="1">
      <c r="A115" s="124"/>
      <c r="B115" s="725"/>
      <c r="C115" s="726"/>
      <c r="D115" s="125"/>
      <c r="E115" s="125"/>
      <c r="F115" s="125">
        <f t="shared" si="14"/>
        <v>0</v>
      </c>
      <c r="G115" s="125"/>
      <c r="H115" s="125"/>
    </row>
    <row r="116" spans="1:11" s="168" customFormat="1" hidden="1">
      <c r="A116" s="166"/>
      <c r="B116" s="727" t="s">
        <v>216</v>
      </c>
      <c r="C116" s="728"/>
      <c r="D116" s="167"/>
      <c r="E116" s="167"/>
      <c r="F116" s="167">
        <f>SUM(F110:F115)</f>
        <v>0</v>
      </c>
      <c r="G116" s="167">
        <f t="shared" ref="G116:H116" si="15">SUM(G110:G115)</f>
        <v>0</v>
      </c>
      <c r="H116" s="167">
        <f t="shared" si="15"/>
        <v>0</v>
      </c>
      <c r="I116" s="171"/>
      <c r="J116" s="171"/>
      <c r="K116" s="171"/>
    </row>
    <row r="117" spans="1:11" hidden="1"/>
    <row r="118" spans="1:11" s="67" customFormat="1" ht="14.25">
      <c r="A118" s="67" t="s">
        <v>251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20" spans="1:11" ht="36.75">
      <c r="A120" s="126" t="s">
        <v>218</v>
      </c>
      <c r="B120" s="733" t="s">
        <v>0</v>
      </c>
      <c r="C120" s="734"/>
      <c r="D120" s="120" t="s">
        <v>252</v>
      </c>
      <c r="E120" s="120" t="s">
        <v>253</v>
      </c>
      <c r="F120" s="120" t="s">
        <v>254</v>
      </c>
      <c r="G120" s="120" t="s">
        <v>303</v>
      </c>
      <c r="H120" s="120" t="s">
        <v>304</v>
      </c>
      <c r="I120" s="120" t="s">
        <v>422</v>
      </c>
    </row>
    <row r="121" spans="1:11">
      <c r="A121" s="122">
        <v>1</v>
      </c>
      <c r="B121" s="725">
        <v>2</v>
      </c>
      <c r="C121" s="726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>
      <c r="A122" s="124"/>
      <c r="B122" s="752" t="s">
        <v>438</v>
      </c>
      <c r="C122" s="753"/>
      <c r="D122" s="754"/>
      <c r="E122" s="754"/>
      <c r="F122" s="755"/>
      <c r="G122" s="125">
        <f>D122*E122*F122</f>
        <v>0</v>
      </c>
      <c r="H122" s="125">
        <v>0</v>
      </c>
      <c r="I122" s="125">
        <v>0</v>
      </c>
    </row>
    <row r="123" spans="1:11" ht="30" customHeight="1">
      <c r="A123" s="124"/>
      <c r="B123" s="750" t="s">
        <v>439</v>
      </c>
      <c r="C123" s="751"/>
      <c r="D123" s="125">
        <v>211</v>
      </c>
      <c r="E123" s="125">
        <v>26.34</v>
      </c>
      <c r="F123" s="125">
        <v>1.0092748</v>
      </c>
      <c r="G123" s="343">
        <f>D123*E123*F123+5.26</f>
        <v>5614.5469269519999</v>
      </c>
      <c r="H123" s="343">
        <f>G123*1.0393</f>
        <v>5835.1986211812127</v>
      </c>
      <c r="I123" s="343">
        <f>H123</f>
        <v>5835.1986211812127</v>
      </c>
    </row>
    <row r="124" spans="1:11" ht="19.5" customHeight="1">
      <c r="A124" s="124"/>
      <c r="B124" s="347"/>
      <c r="C124" s="348"/>
      <c r="D124" s="125">
        <v>211</v>
      </c>
      <c r="E124" s="125">
        <v>17.32</v>
      </c>
      <c r="F124" s="125">
        <f>F123</f>
        <v>1.0092748</v>
      </c>
      <c r="G124" s="343">
        <f>D124*E124*F124+0.72</f>
        <v>3689.134942096</v>
      </c>
      <c r="H124" s="343">
        <f>G124*1.0393</f>
        <v>3834.1179453203727</v>
      </c>
      <c r="I124" s="343">
        <f>H124*1</f>
        <v>3834.1179453203727</v>
      </c>
    </row>
    <row r="125" spans="1:11" ht="51" customHeight="1">
      <c r="A125" s="124"/>
      <c r="B125" s="750" t="s">
        <v>440</v>
      </c>
      <c r="C125" s="751"/>
      <c r="D125" s="125">
        <v>114.84</v>
      </c>
      <c r="E125" s="125">
        <v>453.1</v>
      </c>
      <c r="F125" s="125">
        <v>1.0169999999999999</v>
      </c>
      <c r="G125" s="343">
        <f>D125*E125*F125-0.26</f>
        <v>52918.322067999994</v>
      </c>
      <c r="H125" s="343">
        <f>G125*1.02-16.01</f>
        <v>53960.67850935999</v>
      </c>
      <c r="I125" s="343">
        <f>H125*1.007+9.28</f>
        <v>54347.683258925506</v>
      </c>
    </row>
    <row r="126" spans="1:11" ht="16.5" customHeight="1">
      <c r="A126" s="124"/>
      <c r="B126" s="347" t="s">
        <v>444</v>
      </c>
      <c r="C126" s="348"/>
      <c r="D126" s="125"/>
      <c r="E126" s="125"/>
      <c r="F126" s="125"/>
      <c r="G126" s="349">
        <f>G123+G124+G125</f>
        <v>62222.003937047994</v>
      </c>
      <c r="H126" s="349">
        <f t="shared" ref="H126:I126" si="16">H123+H124+H125</f>
        <v>63629.995075861574</v>
      </c>
      <c r="I126" s="349">
        <f t="shared" si="16"/>
        <v>64016.99982542709</v>
      </c>
    </row>
    <row r="127" spans="1:11" ht="30" customHeight="1">
      <c r="A127" s="124"/>
      <c r="B127" s="750" t="s">
        <v>441</v>
      </c>
      <c r="C127" s="751"/>
      <c r="D127" s="125">
        <f>93+13.3+31.1-3.1</f>
        <v>134.30000000000001</v>
      </c>
      <c r="E127" s="125">
        <v>1821.88</v>
      </c>
      <c r="F127" s="125">
        <v>1</v>
      </c>
      <c r="G127" s="343">
        <f>D127*E127*F127</f>
        <v>244678.48400000003</v>
      </c>
      <c r="H127" s="343">
        <f>G127*1.0393</f>
        <v>254294.3484212</v>
      </c>
      <c r="I127" s="343">
        <f>H127*1.0377</f>
        <v>263881.24535667925</v>
      </c>
    </row>
    <row r="128" spans="1:11">
      <c r="A128" s="124"/>
      <c r="B128" s="748"/>
      <c r="C128" s="749"/>
      <c r="D128" s="125">
        <f>50-1.46563</f>
        <v>48.534370000000003</v>
      </c>
      <c r="E128" s="125">
        <v>1859.24</v>
      </c>
      <c r="F128" s="125">
        <v>1</v>
      </c>
      <c r="G128" s="343">
        <f t="shared" ref="G128" si="17">D128*E128*F128</f>
        <v>90237.042078800005</v>
      </c>
      <c r="H128" s="343">
        <f>G128*1.0393</f>
        <v>93783.35783249684</v>
      </c>
      <c r="I128" s="343">
        <f>H128*1.0377</f>
        <v>97318.990422781979</v>
      </c>
    </row>
    <row r="129" spans="1:11" ht="27" customHeight="1">
      <c r="A129" s="124"/>
      <c r="B129" s="750" t="s">
        <v>442</v>
      </c>
      <c r="C129" s="751"/>
      <c r="D129" s="125">
        <v>8616</v>
      </c>
      <c r="E129" s="346" t="s">
        <v>443</v>
      </c>
      <c r="F129" s="125"/>
      <c r="G129" s="343">
        <v>64626.47</v>
      </c>
      <c r="H129" s="343">
        <f>G129*1.0393-6</f>
        <v>67160.290270999991</v>
      </c>
      <c r="I129" s="343">
        <f>H129*1.0378-19.19</f>
        <v>69679.759243243796</v>
      </c>
    </row>
    <row r="130" spans="1:11">
      <c r="A130" s="124"/>
      <c r="B130" s="347" t="s">
        <v>445</v>
      </c>
      <c r="C130" s="348"/>
      <c r="D130" s="125"/>
      <c r="E130" s="346"/>
      <c r="F130" s="125"/>
      <c r="G130" s="349">
        <f>G127+G128+G129</f>
        <v>399541.99607880006</v>
      </c>
      <c r="H130" s="349">
        <f t="shared" ref="H130:I130" si="18">H127+H128+H129</f>
        <v>415237.99652469682</v>
      </c>
      <c r="I130" s="349">
        <f t="shared" si="18"/>
        <v>430879.995022705</v>
      </c>
    </row>
    <row r="131" spans="1:11" s="168" customFormat="1">
      <c r="A131" s="166"/>
      <c r="B131" s="727" t="s">
        <v>216</v>
      </c>
      <c r="C131" s="728"/>
      <c r="D131" s="167"/>
      <c r="E131" s="167"/>
      <c r="F131" s="167"/>
      <c r="G131" s="349">
        <f>G122+G126+G130</f>
        <v>461764.00001584808</v>
      </c>
      <c r="H131" s="349">
        <f>H122+H126+H130+0.01</f>
        <v>478868.0016005584</v>
      </c>
      <c r="I131" s="349">
        <f t="shared" ref="I131" si="19">I122+I126+I130</f>
        <v>494896.99484813208</v>
      </c>
      <c r="J131" s="171"/>
      <c r="K131" s="171"/>
    </row>
    <row r="133" spans="1:11" s="67" customFormat="1" ht="14.25" hidden="1">
      <c r="A133" s="67" t="s">
        <v>255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1:11" hidden="1"/>
    <row r="135" spans="1:11" ht="48.75" hidden="1">
      <c r="A135" s="126" t="s">
        <v>218</v>
      </c>
      <c r="B135" s="733" t="s">
        <v>0</v>
      </c>
      <c r="C135" s="734"/>
      <c r="D135" s="120" t="s">
        <v>256</v>
      </c>
      <c r="E135" s="120" t="s">
        <v>257</v>
      </c>
      <c r="F135" s="120" t="s">
        <v>258</v>
      </c>
      <c r="G135" s="120" t="s">
        <v>258</v>
      </c>
      <c r="H135" s="120" t="s">
        <v>258</v>
      </c>
    </row>
    <row r="136" spans="1:11" hidden="1">
      <c r="A136" s="122">
        <v>1</v>
      </c>
      <c r="B136" s="725">
        <v>2</v>
      </c>
      <c r="C136" s="726"/>
      <c r="D136" s="122">
        <v>3</v>
      </c>
      <c r="E136" s="122">
        <v>4</v>
      </c>
      <c r="F136" s="122">
        <v>5</v>
      </c>
      <c r="G136" s="122">
        <v>6</v>
      </c>
      <c r="H136" s="122">
        <v>7</v>
      </c>
    </row>
    <row r="137" spans="1:11" hidden="1">
      <c r="A137" s="124"/>
      <c r="B137" s="725"/>
      <c r="C137" s="726"/>
      <c r="D137" s="125"/>
      <c r="E137" s="125"/>
      <c r="F137" s="125"/>
      <c r="G137" s="125"/>
      <c r="H137" s="125"/>
    </row>
    <row r="138" spans="1:11" hidden="1">
      <c r="A138" s="124"/>
      <c r="B138" s="725"/>
      <c r="C138" s="726"/>
      <c r="D138" s="125"/>
      <c r="E138" s="125"/>
      <c r="F138" s="125"/>
      <c r="G138" s="125"/>
      <c r="H138" s="125"/>
    </row>
    <row r="139" spans="1:11" hidden="1">
      <c r="A139" s="124"/>
      <c r="B139" s="725"/>
      <c r="C139" s="726"/>
      <c r="D139" s="125"/>
      <c r="E139" s="125"/>
      <c r="F139" s="125"/>
      <c r="G139" s="125"/>
      <c r="H139" s="125"/>
    </row>
    <row r="140" spans="1:11" hidden="1">
      <c r="A140" s="124"/>
      <c r="B140" s="725"/>
      <c r="C140" s="726"/>
      <c r="D140" s="125"/>
      <c r="E140" s="125"/>
      <c r="F140" s="125"/>
      <c r="G140" s="125"/>
      <c r="H140" s="125"/>
    </row>
    <row r="141" spans="1:11" hidden="1">
      <c r="A141" s="124"/>
      <c r="B141" s="725"/>
      <c r="C141" s="726"/>
      <c r="D141" s="125"/>
      <c r="E141" s="125"/>
      <c r="F141" s="125"/>
      <c r="G141" s="125"/>
      <c r="H141" s="125"/>
    </row>
    <row r="142" spans="1:11" hidden="1">
      <c r="A142" s="124"/>
      <c r="B142" s="725"/>
      <c r="C142" s="726"/>
      <c r="D142" s="125"/>
      <c r="E142" s="125"/>
      <c r="F142" s="125"/>
      <c r="G142" s="125"/>
      <c r="H142" s="125"/>
    </row>
    <row r="143" spans="1:11" s="168" customFormat="1" hidden="1">
      <c r="A143" s="166"/>
      <c r="B143" s="727" t="s">
        <v>216</v>
      </c>
      <c r="C143" s="728"/>
      <c r="D143" s="167"/>
      <c r="E143" s="167"/>
      <c r="F143" s="167">
        <f>SUM(F137:F142)</f>
        <v>0</v>
      </c>
      <c r="G143" s="167">
        <f t="shared" ref="G143:H143" si="20">SUM(G137:G142)</f>
        <v>0</v>
      </c>
      <c r="H143" s="167">
        <f t="shared" si="20"/>
        <v>0</v>
      </c>
      <c r="I143" s="171"/>
      <c r="J143" s="171"/>
      <c r="K143" s="171"/>
    </row>
    <row r="144" spans="1:11" hidden="1"/>
    <row r="145" spans="1:11" s="67" customFormat="1" ht="14.25">
      <c r="A145" s="67" t="s">
        <v>259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</row>
    <row r="147" spans="1:11" ht="24.75">
      <c r="A147" s="126" t="s">
        <v>218</v>
      </c>
      <c r="B147" s="733" t="s">
        <v>0</v>
      </c>
      <c r="C147" s="734"/>
      <c r="D147" s="120" t="s">
        <v>260</v>
      </c>
      <c r="E147" s="120" t="s">
        <v>261</v>
      </c>
      <c r="F147" s="120" t="s">
        <v>303</v>
      </c>
      <c r="G147" s="120" t="s">
        <v>304</v>
      </c>
      <c r="H147" s="120" t="s">
        <v>422</v>
      </c>
    </row>
    <row r="148" spans="1:11">
      <c r="A148" s="122">
        <v>1</v>
      </c>
      <c r="B148" s="725">
        <v>2</v>
      </c>
      <c r="C148" s="726"/>
      <c r="D148" s="122">
        <v>3</v>
      </c>
      <c r="E148" s="122">
        <v>4</v>
      </c>
      <c r="F148" s="122">
        <v>5</v>
      </c>
      <c r="G148" s="122">
        <v>6</v>
      </c>
      <c r="H148" s="122">
        <v>7</v>
      </c>
    </row>
    <row r="149" spans="1:11" ht="48.75" customHeight="1">
      <c r="A149" s="124">
        <v>1</v>
      </c>
      <c r="B149" s="744" t="s">
        <v>446</v>
      </c>
      <c r="C149" s="745"/>
      <c r="D149" s="125"/>
      <c r="E149" s="125"/>
      <c r="F149" s="125">
        <f>E149*D149</f>
        <v>0</v>
      </c>
      <c r="G149" s="125">
        <f t="shared" ref="G149:H152" si="21">F149</f>
        <v>0</v>
      </c>
      <c r="H149" s="125">
        <f t="shared" si="21"/>
        <v>0</v>
      </c>
    </row>
    <row r="150" spans="1:11">
      <c r="A150" s="124"/>
      <c r="B150" s="739" t="s">
        <v>447</v>
      </c>
      <c r="C150" s="740"/>
      <c r="D150" s="125">
        <v>1</v>
      </c>
      <c r="E150" s="125">
        <v>3134.4</v>
      </c>
      <c r="F150" s="125">
        <f t="shared" ref="F150" si="22">E150*D150</f>
        <v>3134.4</v>
      </c>
      <c r="G150" s="125">
        <f t="shared" si="21"/>
        <v>3134.4</v>
      </c>
      <c r="H150" s="125">
        <f t="shared" si="21"/>
        <v>3134.4</v>
      </c>
    </row>
    <row r="151" spans="1:11" ht="26.25" customHeight="1">
      <c r="A151" s="124">
        <v>2</v>
      </c>
      <c r="B151" s="744" t="s">
        <v>448</v>
      </c>
      <c r="C151" s="741"/>
      <c r="D151" s="125"/>
      <c r="E151" s="125"/>
      <c r="F151" s="125"/>
      <c r="G151" s="125">
        <f t="shared" si="21"/>
        <v>0</v>
      </c>
      <c r="H151" s="125">
        <f t="shared" si="21"/>
        <v>0</v>
      </c>
    </row>
    <row r="152" spans="1:11">
      <c r="A152" s="124"/>
      <c r="B152" s="739" t="s">
        <v>449</v>
      </c>
      <c r="C152" s="740"/>
      <c r="D152" s="125">
        <v>1</v>
      </c>
      <c r="E152" s="125">
        <v>3096</v>
      </c>
      <c r="F152" s="125">
        <f t="shared" ref="F152:F158" si="23">E152*D152</f>
        <v>3096</v>
      </c>
      <c r="G152" s="125">
        <f t="shared" si="21"/>
        <v>3096</v>
      </c>
      <c r="H152" s="125">
        <f t="shared" si="21"/>
        <v>3096</v>
      </c>
    </row>
    <row r="153" spans="1:11" ht="39" customHeight="1">
      <c r="A153" s="124"/>
      <c r="B153" s="744" t="s">
        <v>450</v>
      </c>
      <c r="C153" s="746"/>
      <c r="D153" s="125"/>
      <c r="E153" s="125"/>
      <c r="F153" s="125">
        <f t="shared" si="23"/>
        <v>0</v>
      </c>
      <c r="G153" s="125"/>
      <c r="H153" s="125"/>
    </row>
    <row r="154" spans="1:11">
      <c r="A154" s="124"/>
      <c r="B154" s="350" t="s">
        <v>451</v>
      </c>
      <c r="C154" s="351"/>
      <c r="D154" s="125">
        <v>1</v>
      </c>
      <c r="E154" s="125">
        <v>20376</v>
      </c>
      <c r="F154" s="125">
        <f t="shared" si="23"/>
        <v>20376</v>
      </c>
      <c r="G154" s="125">
        <f>F154</f>
        <v>20376</v>
      </c>
      <c r="H154" s="125">
        <f>G154</f>
        <v>20376</v>
      </c>
    </row>
    <row r="155" spans="1:11" ht="43.5" customHeight="1">
      <c r="A155" s="124"/>
      <c r="B155" s="744" t="s">
        <v>452</v>
      </c>
      <c r="C155" s="745"/>
      <c r="D155" s="125"/>
      <c r="E155" s="125"/>
      <c r="F155" s="125">
        <f t="shared" si="23"/>
        <v>0</v>
      </c>
      <c r="G155" s="125">
        <f t="shared" ref="G155:H162" si="24">F155</f>
        <v>0</v>
      </c>
      <c r="H155" s="125">
        <f t="shared" si="24"/>
        <v>0</v>
      </c>
    </row>
    <row r="156" spans="1:11">
      <c r="A156" s="124"/>
      <c r="B156" s="739" t="s">
        <v>453</v>
      </c>
      <c r="C156" s="740"/>
      <c r="D156" s="125">
        <v>1</v>
      </c>
      <c r="E156" s="125">
        <v>13200</v>
      </c>
      <c r="F156" s="125">
        <f t="shared" si="23"/>
        <v>13200</v>
      </c>
      <c r="G156" s="125">
        <f t="shared" si="24"/>
        <v>13200</v>
      </c>
      <c r="H156" s="125">
        <f t="shared" si="24"/>
        <v>13200</v>
      </c>
    </row>
    <row r="157" spans="1:11" ht="26.25" customHeight="1">
      <c r="A157" s="124"/>
      <c r="B157" s="744" t="s">
        <v>454</v>
      </c>
      <c r="C157" s="745"/>
      <c r="D157" s="125"/>
      <c r="E157" s="125"/>
      <c r="F157" s="125">
        <f t="shared" si="23"/>
        <v>0</v>
      </c>
      <c r="G157" s="125">
        <f t="shared" si="24"/>
        <v>0</v>
      </c>
      <c r="H157" s="125">
        <f t="shared" si="24"/>
        <v>0</v>
      </c>
    </row>
    <row r="158" spans="1:11">
      <c r="A158" s="124"/>
      <c r="B158" s="739" t="s">
        <v>455</v>
      </c>
      <c r="C158" s="740"/>
      <c r="D158" s="125">
        <v>1</v>
      </c>
      <c r="E158" s="125">
        <v>19263.12</v>
      </c>
      <c r="F158" s="125">
        <f t="shared" si="23"/>
        <v>19263.12</v>
      </c>
      <c r="G158" s="125">
        <f t="shared" si="24"/>
        <v>19263.12</v>
      </c>
      <c r="H158" s="125">
        <f t="shared" si="24"/>
        <v>19263.12</v>
      </c>
    </row>
    <row r="159" spans="1:11">
      <c r="A159" s="124"/>
      <c r="B159" s="352" t="s">
        <v>456</v>
      </c>
      <c r="C159" s="129"/>
      <c r="D159" s="125">
        <v>1</v>
      </c>
      <c r="E159" s="125">
        <v>10000</v>
      </c>
      <c r="F159" s="125">
        <f t="shared" ref="F159:F166" si="25">E159*D159</f>
        <v>10000</v>
      </c>
      <c r="G159" s="125">
        <f>F159</f>
        <v>10000</v>
      </c>
      <c r="H159" s="125">
        <f t="shared" si="24"/>
        <v>10000</v>
      </c>
    </row>
    <row r="160" spans="1:11" ht="31.5" customHeight="1">
      <c r="A160" s="124"/>
      <c r="B160" s="742" t="s">
        <v>457</v>
      </c>
      <c r="C160" s="747"/>
      <c r="D160" s="125">
        <v>1</v>
      </c>
      <c r="E160" s="125">
        <v>15000</v>
      </c>
      <c r="F160" s="125">
        <f t="shared" si="25"/>
        <v>15000</v>
      </c>
      <c r="G160" s="125">
        <f>F160</f>
        <v>15000</v>
      </c>
      <c r="H160" s="125">
        <f t="shared" si="24"/>
        <v>15000</v>
      </c>
    </row>
    <row r="161" spans="1:11" ht="30" customHeight="1">
      <c r="A161" s="124"/>
      <c r="B161" s="742" t="s">
        <v>458</v>
      </c>
      <c r="C161" s="743"/>
      <c r="D161" s="125">
        <v>1</v>
      </c>
      <c r="E161" s="125">
        <v>4870</v>
      </c>
      <c r="F161" s="125">
        <f t="shared" si="25"/>
        <v>4870</v>
      </c>
      <c r="G161" s="125">
        <f>F161</f>
        <v>4870</v>
      </c>
      <c r="H161" s="125">
        <f t="shared" si="24"/>
        <v>4870</v>
      </c>
    </row>
    <row r="162" spans="1:11">
      <c r="A162" s="124"/>
      <c r="B162" s="352" t="s">
        <v>459</v>
      </c>
      <c r="C162" s="129"/>
      <c r="D162" s="125">
        <v>1</v>
      </c>
      <c r="E162" s="125">
        <v>3000</v>
      </c>
      <c r="F162" s="125">
        <f t="shared" si="25"/>
        <v>3000</v>
      </c>
      <c r="G162" s="125">
        <f>F162</f>
        <v>3000</v>
      </c>
      <c r="H162" s="125">
        <f t="shared" si="24"/>
        <v>3000</v>
      </c>
    </row>
    <row r="163" spans="1:11" hidden="1">
      <c r="A163" s="124"/>
      <c r="B163" s="725"/>
      <c r="C163" s="726"/>
      <c r="D163" s="125"/>
      <c r="E163" s="125"/>
      <c r="F163" s="125">
        <f t="shared" si="25"/>
        <v>0</v>
      </c>
      <c r="G163" s="125"/>
      <c r="H163" s="125"/>
    </row>
    <row r="164" spans="1:11" hidden="1">
      <c r="A164" s="124"/>
      <c r="B164" s="725"/>
      <c r="C164" s="726"/>
      <c r="D164" s="125"/>
      <c r="E164" s="125"/>
      <c r="F164" s="125">
        <f t="shared" si="25"/>
        <v>0</v>
      </c>
      <c r="G164" s="125"/>
      <c r="H164" s="125"/>
    </row>
    <row r="165" spans="1:11" hidden="1">
      <c r="A165" s="124"/>
      <c r="B165" s="725"/>
      <c r="C165" s="726"/>
      <c r="D165" s="125"/>
      <c r="E165" s="125"/>
      <c r="F165" s="125">
        <f t="shared" si="25"/>
        <v>0</v>
      </c>
      <c r="G165" s="125"/>
      <c r="H165" s="125"/>
    </row>
    <row r="166" spans="1:11" hidden="1">
      <c r="A166" s="124"/>
      <c r="B166" s="725"/>
      <c r="C166" s="726"/>
      <c r="D166" s="125"/>
      <c r="E166" s="125"/>
      <c r="F166" s="125">
        <f t="shared" si="25"/>
        <v>0</v>
      </c>
      <c r="G166" s="125"/>
      <c r="H166" s="125"/>
    </row>
    <row r="167" spans="1:11" s="168" customFormat="1">
      <c r="A167" s="166"/>
      <c r="B167" s="727" t="s">
        <v>216</v>
      </c>
      <c r="C167" s="728"/>
      <c r="D167" s="167"/>
      <c r="E167" s="167"/>
      <c r="F167" s="167">
        <f>SUM(F149:F166)+0.48</f>
        <v>91940</v>
      </c>
      <c r="G167" s="167">
        <f>SUM(G149:G166)+0.48</f>
        <v>91940</v>
      </c>
      <c r="H167" s="167">
        <f>SUM(H149:H166)+0.48</f>
        <v>91940</v>
      </c>
      <c r="I167" s="171"/>
      <c r="J167" s="171"/>
      <c r="K167" s="171"/>
    </row>
    <row r="169" spans="1:11" s="67" customFormat="1" ht="14.25">
      <c r="A169" s="67" t="s">
        <v>262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1" spans="1:11" ht="24.75">
      <c r="A171" s="126" t="s">
        <v>218</v>
      </c>
      <c r="B171" s="733" t="s">
        <v>237</v>
      </c>
      <c r="C171" s="734"/>
      <c r="D171" s="120" t="s">
        <v>260</v>
      </c>
      <c r="E171" s="120" t="s">
        <v>261</v>
      </c>
      <c r="F171" s="120" t="s">
        <v>303</v>
      </c>
      <c r="G171" s="120" t="s">
        <v>304</v>
      </c>
      <c r="H171" s="120" t="s">
        <v>422</v>
      </c>
    </row>
    <row r="172" spans="1:11">
      <c r="A172" s="122">
        <v>1</v>
      </c>
      <c r="B172" s="725">
        <v>2</v>
      </c>
      <c r="C172" s="726"/>
      <c r="D172" s="122">
        <v>3</v>
      </c>
      <c r="E172" s="122">
        <v>4</v>
      </c>
      <c r="F172" s="122">
        <v>5</v>
      </c>
      <c r="G172" s="122">
        <v>6</v>
      </c>
      <c r="H172" s="122">
        <v>7</v>
      </c>
    </row>
    <row r="173" spans="1:11">
      <c r="A173" s="124">
        <v>1</v>
      </c>
      <c r="B173" s="735" t="s">
        <v>460</v>
      </c>
      <c r="C173" s="736"/>
      <c r="D173" s="125"/>
      <c r="E173" s="125"/>
      <c r="F173" s="125">
        <f>E173*D173</f>
        <v>0</v>
      </c>
      <c r="G173" s="125"/>
      <c r="H173" s="125"/>
    </row>
    <row r="174" spans="1:11">
      <c r="A174" s="124"/>
      <c r="B174" s="735" t="s">
        <v>461</v>
      </c>
      <c r="C174" s="736"/>
      <c r="D174" s="125"/>
      <c r="E174" s="125"/>
      <c r="F174" s="125">
        <f t="shared" ref="F174:F176" si="26">E174*D174</f>
        <v>0</v>
      </c>
      <c r="G174" s="125"/>
      <c r="H174" s="125"/>
    </row>
    <row r="175" spans="1:11">
      <c r="A175" s="124"/>
      <c r="B175" s="739" t="s">
        <v>470</v>
      </c>
      <c r="C175" s="740"/>
      <c r="D175" s="125">
        <v>1</v>
      </c>
      <c r="E175" s="125">
        <v>43103.88</v>
      </c>
      <c r="F175" s="125">
        <f t="shared" si="26"/>
        <v>43103.88</v>
      </c>
      <c r="G175" s="125">
        <f>F175</f>
        <v>43103.88</v>
      </c>
      <c r="H175" s="125">
        <f>G175</f>
        <v>43103.88</v>
      </c>
    </row>
    <row r="176" spans="1:11">
      <c r="A176" s="124"/>
      <c r="B176" s="735" t="s">
        <v>462</v>
      </c>
      <c r="C176" s="741"/>
      <c r="D176" s="125">
        <v>1</v>
      </c>
      <c r="E176" s="125">
        <v>34160</v>
      </c>
      <c r="F176" s="125">
        <f t="shared" si="26"/>
        <v>34160</v>
      </c>
      <c r="G176" s="125">
        <f t="shared" ref="G176:H176" si="27">F176</f>
        <v>34160</v>
      </c>
      <c r="H176" s="125">
        <f t="shared" si="27"/>
        <v>34160</v>
      </c>
    </row>
    <row r="177" spans="1:11">
      <c r="A177" s="124"/>
      <c r="B177" s="350" t="s">
        <v>464</v>
      </c>
      <c r="C177" s="351"/>
      <c r="D177" s="125"/>
      <c r="E177" s="125"/>
      <c r="F177" s="125"/>
      <c r="G177" s="125"/>
      <c r="H177" s="125"/>
    </row>
    <row r="178" spans="1:11">
      <c r="A178" s="124"/>
      <c r="B178" s="350" t="s">
        <v>463</v>
      </c>
      <c r="C178" s="351"/>
      <c r="D178" s="125"/>
      <c r="E178" s="125"/>
      <c r="F178" s="125"/>
      <c r="G178" s="125"/>
      <c r="H178" s="125"/>
    </row>
    <row r="179" spans="1:11">
      <c r="A179" s="124"/>
      <c r="B179" s="350" t="s">
        <v>465</v>
      </c>
      <c r="C179" s="351"/>
      <c r="D179" s="125"/>
      <c r="E179" s="125"/>
      <c r="F179" s="125"/>
      <c r="G179" s="125"/>
      <c r="H179" s="125"/>
    </row>
    <row r="180" spans="1:11" ht="30" customHeight="1">
      <c r="A180" s="124"/>
      <c r="B180" s="742" t="s">
        <v>466</v>
      </c>
      <c r="C180" s="743"/>
      <c r="D180" s="125">
        <v>1</v>
      </c>
      <c r="E180" s="125">
        <v>700</v>
      </c>
      <c r="F180" s="125">
        <f t="shared" ref="F180:F191" si="28">E180*D180</f>
        <v>700</v>
      </c>
      <c r="G180" s="125">
        <f>F180</f>
        <v>700</v>
      </c>
      <c r="H180" s="125">
        <f>G180</f>
        <v>700</v>
      </c>
    </row>
    <row r="181" spans="1:11">
      <c r="A181" s="124"/>
      <c r="B181" s="352" t="s">
        <v>467</v>
      </c>
      <c r="C181" s="129"/>
      <c r="D181" s="125">
        <v>1</v>
      </c>
      <c r="E181" s="125">
        <f>360000-72000</f>
        <v>288000</v>
      </c>
      <c r="F181" s="125">
        <f t="shared" si="28"/>
        <v>288000</v>
      </c>
      <c r="G181" s="125">
        <f>F181+72000-30279</f>
        <v>329721</v>
      </c>
      <c r="H181" s="125">
        <f>G181</f>
        <v>329721</v>
      </c>
    </row>
    <row r="182" spans="1:11">
      <c r="A182" s="124"/>
      <c r="B182" s="353" t="s">
        <v>468</v>
      </c>
      <c r="C182" s="129"/>
      <c r="D182" s="125">
        <v>1</v>
      </c>
      <c r="E182" s="125">
        <v>4400</v>
      </c>
      <c r="F182" s="125">
        <f t="shared" si="28"/>
        <v>4400</v>
      </c>
      <c r="G182" s="125">
        <f>F182</f>
        <v>4400</v>
      </c>
      <c r="H182" s="125">
        <f>G182</f>
        <v>4400</v>
      </c>
    </row>
    <row r="183" spans="1:11">
      <c r="A183" s="124"/>
      <c r="B183" s="352" t="s">
        <v>469</v>
      </c>
      <c r="C183" s="129"/>
      <c r="D183" s="125">
        <v>1</v>
      </c>
      <c r="E183" s="125">
        <v>2500</v>
      </c>
      <c r="F183" s="125">
        <f t="shared" si="28"/>
        <v>2500</v>
      </c>
      <c r="G183" s="125">
        <f>F183</f>
        <v>2500</v>
      </c>
      <c r="H183" s="125">
        <f>G183</f>
        <v>2500</v>
      </c>
    </row>
    <row r="184" spans="1:11" hidden="1">
      <c r="A184" s="124"/>
      <c r="B184" s="128"/>
      <c r="C184" s="129"/>
      <c r="D184" s="125"/>
      <c r="E184" s="125"/>
      <c r="F184" s="125">
        <f t="shared" si="28"/>
        <v>0</v>
      </c>
      <c r="G184" s="125"/>
      <c r="H184" s="125"/>
    </row>
    <row r="185" spans="1:11" hidden="1">
      <c r="A185" s="124"/>
      <c r="B185" s="128"/>
      <c r="C185" s="129"/>
      <c r="D185" s="125"/>
      <c r="E185" s="125"/>
      <c r="F185" s="125">
        <f t="shared" si="28"/>
        <v>0</v>
      </c>
      <c r="G185" s="125"/>
      <c r="H185" s="125"/>
    </row>
    <row r="186" spans="1:11" hidden="1">
      <c r="A186" s="124"/>
      <c r="B186" s="128"/>
      <c r="C186" s="129"/>
      <c r="D186" s="125"/>
      <c r="E186" s="125"/>
      <c r="F186" s="125">
        <f t="shared" si="28"/>
        <v>0</v>
      </c>
      <c r="G186" s="125"/>
      <c r="H186" s="125"/>
    </row>
    <row r="187" spans="1:11" hidden="1">
      <c r="A187" s="124"/>
      <c r="B187" s="128"/>
      <c r="C187" s="129"/>
      <c r="D187" s="125"/>
      <c r="E187" s="125"/>
      <c r="F187" s="125">
        <f t="shared" si="28"/>
        <v>0</v>
      </c>
      <c r="G187" s="125"/>
      <c r="H187" s="125"/>
    </row>
    <row r="188" spans="1:11" hidden="1">
      <c r="A188" s="124"/>
      <c r="B188" s="128"/>
      <c r="C188" s="129"/>
      <c r="D188" s="125"/>
      <c r="E188" s="125"/>
      <c r="F188" s="125">
        <f t="shared" si="28"/>
        <v>0</v>
      </c>
      <c r="G188" s="125"/>
      <c r="H188" s="125"/>
    </row>
    <row r="189" spans="1:11" hidden="1">
      <c r="A189" s="124"/>
      <c r="B189" s="725"/>
      <c r="C189" s="726"/>
      <c r="D189" s="125"/>
      <c r="E189" s="125"/>
      <c r="F189" s="125">
        <f t="shared" si="28"/>
        <v>0</v>
      </c>
      <c r="G189" s="125"/>
      <c r="H189" s="125"/>
    </row>
    <row r="190" spans="1:11" hidden="1">
      <c r="A190" s="124"/>
      <c r="B190" s="725"/>
      <c r="C190" s="726"/>
      <c r="D190" s="125"/>
      <c r="E190" s="125"/>
      <c r="F190" s="125">
        <f t="shared" si="28"/>
        <v>0</v>
      </c>
      <c r="G190" s="125"/>
      <c r="H190" s="125"/>
    </row>
    <row r="191" spans="1:11" hidden="1">
      <c r="A191" s="124"/>
      <c r="B191" s="725"/>
      <c r="C191" s="726"/>
      <c r="D191" s="125"/>
      <c r="E191" s="125"/>
      <c r="F191" s="125">
        <f t="shared" si="28"/>
        <v>0</v>
      </c>
      <c r="G191" s="125"/>
      <c r="H191" s="125"/>
    </row>
    <row r="192" spans="1:11" s="168" customFormat="1">
      <c r="A192" s="166"/>
      <c r="B192" s="727" t="s">
        <v>216</v>
      </c>
      <c r="C192" s="728"/>
      <c r="D192" s="167"/>
      <c r="E192" s="167"/>
      <c r="F192" s="167">
        <f>SUM(F173:F191)+0.12</f>
        <v>372864</v>
      </c>
      <c r="G192" s="167">
        <f>SUM(G173:G191)+0.12</f>
        <v>414585</v>
      </c>
      <c r="H192" s="167">
        <f>SUM(H173:H191)+0.12</f>
        <v>414585</v>
      </c>
      <c r="I192" s="171"/>
      <c r="J192" s="171"/>
      <c r="K192" s="171"/>
    </row>
    <row r="194" spans="1:11" s="67" customFormat="1" ht="14.25">
      <c r="A194" s="67" t="s">
        <v>263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6" spans="1:11" ht="24.75">
      <c r="A196" s="126" t="s">
        <v>218</v>
      </c>
      <c r="B196" s="733" t="s">
        <v>237</v>
      </c>
      <c r="C196" s="734"/>
      <c r="D196" s="120" t="s">
        <v>256</v>
      </c>
      <c r="E196" s="120" t="s">
        <v>261</v>
      </c>
      <c r="F196" s="120" t="s">
        <v>303</v>
      </c>
      <c r="G196" s="120" t="s">
        <v>304</v>
      </c>
      <c r="H196" s="120" t="s">
        <v>422</v>
      </c>
    </row>
    <row r="197" spans="1:11">
      <c r="A197" s="122">
        <v>1</v>
      </c>
      <c r="B197" s="725">
        <v>2</v>
      </c>
      <c r="C197" s="726"/>
      <c r="D197" s="122">
        <v>3</v>
      </c>
      <c r="E197" s="122">
        <v>4</v>
      </c>
      <c r="F197" s="122">
        <v>5</v>
      </c>
      <c r="G197" s="122">
        <v>6</v>
      </c>
      <c r="H197" s="122">
        <v>7</v>
      </c>
    </row>
    <row r="198" spans="1:11">
      <c r="A198" s="124">
        <v>1</v>
      </c>
      <c r="B198" s="735" t="s">
        <v>471</v>
      </c>
      <c r="C198" s="736"/>
      <c r="D198" s="125">
        <v>1</v>
      </c>
      <c r="E198" s="125">
        <v>50000</v>
      </c>
      <c r="F198" s="125">
        <f t="shared" ref="F198:F200" si="29">D198*E198</f>
        <v>50000</v>
      </c>
      <c r="G198" s="125">
        <f>F198</f>
        <v>50000</v>
      </c>
      <c r="H198" s="125">
        <f>G198</f>
        <v>50000</v>
      </c>
    </row>
    <row r="199" spans="1:11">
      <c r="A199" s="130"/>
      <c r="B199" s="737" t="s">
        <v>472</v>
      </c>
      <c r="C199" s="738"/>
      <c r="D199" s="125">
        <v>1</v>
      </c>
      <c r="E199" s="125">
        <v>6120</v>
      </c>
      <c r="F199" s="125">
        <f t="shared" si="29"/>
        <v>6120</v>
      </c>
      <c r="G199" s="125">
        <f t="shared" ref="G199:H200" si="30">F199</f>
        <v>6120</v>
      </c>
      <c r="H199" s="125">
        <f t="shared" si="30"/>
        <v>6120</v>
      </c>
    </row>
    <row r="200" spans="1:11">
      <c r="A200" s="130"/>
      <c r="B200" s="354" t="s">
        <v>473</v>
      </c>
      <c r="C200" s="355"/>
      <c r="D200" s="125">
        <v>1</v>
      </c>
      <c r="E200" s="125">
        <v>47500</v>
      </c>
      <c r="F200" s="125">
        <f t="shared" si="29"/>
        <v>47500</v>
      </c>
      <c r="G200" s="125">
        <f t="shared" si="30"/>
        <v>47500</v>
      </c>
      <c r="H200" s="125">
        <f t="shared" si="30"/>
        <v>47500</v>
      </c>
    </row>
    <row r="201" spans="1:11" hidden="1">
      <c r="A201" s="130"/>
      <c r="B201" s="128"/>
      <c r="C201" s="129"/>
      <c r="D201" s="125"/>
      <c r="E201" s="125"/>
      <c r="F201" s="125">
        <f t="shared" ref="F201:F219" si="31">D201*E201</f>
        <v>0</v>
      </c>
      <c r="G201" s="125"/>
      <c r="H201" s="125"/>
    </row>
    <row r="202" spans="1:11" hidden="1">
      <c r="A202" s="130"/>
      <c r="B202" s="128"/>
      <c r="C202" s="129"/>
      <c r="D202" s="125"/>
      <c r="E202" s="125"/>
      <c r="F202" s="125">
        <f t="shared" si="31"/>
        <v>0</v>
      </c>
      <c r="G202" s="125"/>
      <c r="H202" s="125"/>
    </row>
    <row r="203" spans="1:11" hidden="1">
      <c r="A203" s="130"/>
      <c r="B203" s="128"/>
      <c r="C203" s="129"/>
      <c r="D203" s="125"/>
      <c r="E203" s="125"/>
      <c r="F203" s="125">
        <f t="shared" si="31"/>
        <v>0</v>
      </c>
      <c r="G203" s="125"/>
      <c r="H203" s="125"/>
    </row>
    <row r="204" spans="1:11" hidden="1">
      <c r="A204" s="130"/>
      <c r="B204" s="128"/>
      <c r="C204" s="129"/>
      <c r="D204" s="125"/>
      <c r="E204" s="125"/>
      <c r="F204" s="125">
        <f t="shared" si="31"/>
        <v>0</v>
      </c>
      <c r="G204" s="125"/>
      <c r="H204" s="125"/>
    </row>
    <row r="205" spans="1:11" hidden="1">
      <c r="A205" s="130"/>
      <c r="B205" s="128"/>
      <c r="C205" s="129"/>
      <c r="D205" s="125"/>
      <c r="E205" s="125"/>
      <c r="F205" s="125">
        <f t="shared" si="31"/>
        <v>0</v>
      </c>
      <c r="G205" s="125"/>
      <c r="H205" s="125"/>
    </row>
    <row r="206" spans="1:11" hidden="1">
      <c r="A206" s="130"/>
      <c r="B206" s="128"/>
      <c r="C206" s="129"/>
      <c r="D206" s="125"/>
      <c r="E206" s="125"/>
      <c r="F206" s="125">
        <f t="shared" si="31"/>
        <v>0</v>
      </c>
      <c r="G206" s="125"/>
      <c r="H206" s="125"/>
    </row>
    <row r="207" spans="1:11" hidden="1">
      <c r="A207" s="130"/>
      <c r="B207" s="128"/>
      <c r="C207" s="129"/>
      <c r="D207" s="125"/>
      <c r="E207" s="125"/>
      <c r="F207" s="125">
        <f t="shared" si="31"/>
        <v>0</v>
      </c>
      <c r="G207" s="125"/>
      <c r="H207" s="125"/>
    </row>
    <row r="208" spans="1:11" hidden="1">
      <c r="A208" s="130"/>
      <c r="B208" s="128"/>
      <c r="C208" s="129"/>
      <c r="D208" s="125"/>
      <c r="E208" s="125"/>
      <c r="F208" s="125">
        <f t="shared" si="31"/>
        <v>0</v>
      </c>
      <c r="G208" s="125"/>
      <c r="H208" s="125"/>
    </row>
    <row r="209" spans="1:11" hidden="1">
      <c r="A209" s="130"/>
      <c r="B209" s="128"/>
      <c r="C209" s="129"/>
      <c r="D209" s="125"/>
      <c r="E209" s="125"/>
      <c r="F209" s="125">
        <f t="shared" si="31"/>
        <v>0</v>
      </c>
      <c r="G209" s="125"/>
      <c r="H209" s="125"/>
    </row>
    <row r="210" spans="1:11" hidden="1">
      <c r="A210" s="130"/>
      <c r="B210" s="128"/>
      <c r="C210" s="129"/>
      <c r="D210" s="125"/>
      <c r="E210" s="125"/>
      <c r="F210" s="125">
        <f t="shared" si="31"/>
        <v>0</v>
      </c>
      <c r="G210" s="125"/>
      <c r="H210" s="125"/>
    </row>
    <row r="211" spans="1:11" hidden="1">
      <c r="A211" s="130"/>
      <c r="B211" s="128"/>
      <c r="C211" s="129"/>
      <c r="D211" s="125"/>
      <c r="E211" s="125"/>
      <c r="F211" s="125">
        <f t="shared" si="31"/>
        <v>0</v>
      </c>
      <c r="G211" s="125"/>
      <c r="H211" s="125"/>
    </row>
    <row r="212" spans="1:11" hidden="1">
      <c r="A212" s="130"/>
      <c r="B212" s="128"/>
      <c r="C212" s="129"/>
      <c r="D212" s="125"/>
      <c r="E212" s="125"/>
      <c r="F212" s="125">
        <f t="shared" si="31"/>
        <v>0</v>
      </c>
      <c r="G212" s="125"/>
      <c r="H212" s="125"/>
    </row>
    <row r="213" spans="1:11" hidden="1">
      <c r="A213" s="130"/>
      <c r="B213" s="128"/>
      <c r="C213" s="129"/>
      <c r="D213" s="125"/>
      <c r="E213" s="125"/>
      <c r="F213" s="125">
        <f t="shared" si="31"/>
        <v>0</v>
      </c>
      <c r="G213" s="125"/>
      <c r="H213" s="125"/>
    </row>
    <row r="214" spans="1:11" hidden="1">
      <c r="A214" s="130"/>
      <c r="B214" s="128"/>
      <c r="C214" s="129"/>
      <c r="D214" s="125"/>
      <c r="E214" s="125"/>
      <c r="F214" s="125">
        <f t="shared" si="31"/>
        <v>0</v>
      </c>
      <c r="G214" s="125"/>
      <c r="H214" s="125"/>
    </row>
    <row r="215" spans="1:11" hidden="1">
      <c r="A215" s="130"/>
      <c r="B215" s="128"/>
      <c r="C215" s="129"/>
      <c r="D215" s="125"/>
      <c r="E215" s="125"/>
      <c r="F215" s="125">
        <f t="shared" si="31"/>
        <v>0</v>
      </c>
      <c r="G215" s="125"/>
      <c r="H215" s="125"/>
    </row>
    <row r="216" spans="1:11" hidden="1">
      <c r="A216" s="124"/>
      <c r="B216" s="725"/>
      <c r="C216" s="726"/>
      <c r="D216" s="125"/>
      <c r="E216" s="125"/>
      <c r="F216" s="125">
        <f t="shared" si="31"/>
        <v>0</v>
      </c>
      <c r="G216" s="125"/>
      <c r="H216" s="125"/>
    </row>
    <row r="217" spans="1:11" hidden="1">
      <c r="A217" s="124"/>
      <c r="B217" s="725"/>
      <c r="C217" s="726"/>
      <c r="D217" s="125"/>
      <c r="E217" s="125"/>
      <c r="F217" s="125">
        <f t="shared" si="31"/>
        <v>0</v>
      </c>
      <c r="G217" s="125"/>
      <c r="H217" s="125"/>
    </row>
    <row r="218" spans="1:11" hidden="1">
      <c r="A218" s="124"/>
      <c r="B218" s="725"/>
      <c r="C218" s="726"/>
      <c r="D218" s="125"/>
      <c r="E218" s="125"/>
      <c r="F218" s="125">
        <f t="shared" si="31"/>
        <v>0</v>
      </c>
      <c r="G218" s="125"/>
      <c r="H218" s="125"/>
    </row>
    <row r="219" spans="1:11" hidden="1">
      <c r="A219" s="124"/>
      <c r="B219" s="725"/>
      <c r="C219" s="726"/>
      <c r="D219" s="125"/>
      <c r="E219" s="125"/>
      <c r="F219" s="125">
        <f t="shared" si="31"/>
        <v>0</v>
      </c>
      <c r="G219" s="125"/>
      <c r="H219" s="125"/>
    </row>
    <row r="220" spans="1:11" s="168" customFormat="1">
      <c r="A220" s="166"/>
      <c r="B220" s="727" t="s">
        <v>216</v>
      </c>
      <c r="C220" s="728"/>
      <c r="D220" s="167"/>
      <c r="E220" s="167"/>
      <c r="F220" s="167">
        <f>SUM(F198:F219)</f>
        <v>103620</v>
      </c>
      <c r="G220" s="167">
        <f t="shared" ref="G220:H220" si="32">SUM(G198:G219)</f>
        <v>103620</v>
      </c>
      <c r="H220" s="167">
        <f t="shared" si="32"/>
        <v>103620</v>
      </c>
      <c r="I220" s="171"/>
      <c r="J220" s="171"/>
      <c r="K220" s="171"/>
    </row>
    <row r="221" spans="1:11" ht="15.75" thickBot="1"/>
    <row r="222" spans="1:11" ht="15.75" thickBot="1">
      <c r="A222" s="131"/>
      <c r="B222" s="729" t="s">
        <v>264</v>
      </c>
      <c r="C222" s="730"/>
      <c r="D222" s="730"/>
      <c r="E222" s="731"/>
      <c r="F222" s="361">
        <f>F220+F192+F167+G131+G104+F79+F55+I30</f>
        <v>2939826.0000158483</v>
      </c>
      <c r="G222" s="361">
        <f>G220+G192+G167+H131+H104+G79+G55+J30</f>
        <v>2912473.9987205584</v>
      </c>
      <c r="H222" s="361">
        <f t="shared" ref="H222" si="33">H220+H192+H167+I131+I104+H79+H55+K30</f>
        <v>3108847.9987971396</v>
      </c>
    </row>
    <row r="223" spans="1:11">
      <c r="F223" s="357"/>
      <c r="G223" s="357"/>
      <c r="H223" s="357"/>
    </row>
    <row r="224" spans="1:11">
      <c r="F224" s="358"/>
      <c r="G224" s="358"/>
      <c r="H224" s="358"/>
    </row>
    <row r="225" spans="1:15" s="114" customFormat="1" ht="20.25" customHeight="1">
      <c r="A225" s="732" t="s">
        <v>179</v>
      </c>
      <c r="B225" s="732"/>
      <c r="C225" s="732"/>
      <c r="D225" s="437" t="s">
        <v>577</v>
      </c>
      <c r="E225" s="132"/>
      <c r="F225" s="96"/>
      <c r="G225" s="132"/>
      <c r="H225" s="312" t="s">
        <v>475</v>
      </c>
      <c r="I225" s="96"/>
      <c r="J225" s="132"/>
      <c r="K225" s="132"/>
      <c r="L225" s="132"/>
      <c r="M225" s="132"/>
      <c r="N225" s="132"/>
      <c r="O225" s="133"/>
    </row>
    <row r="226" spans="1:15" s="114" customFormat="1" ht="20.25" customHeight="1">
      <c r="A226" s="732" t="s">
        <v>180</v>
      </c>
      <c r="B226" s="732"/>
      <c r="C226" s="732"/>
      <c r="D226" s="134" t="s">
        <v>265</v>
      </c>
      <c r="E226" s="135"/>
      <c r="F226" s="134" t="s">
        <v>266</v>
      </c>
      <c r="G226" s="135"/>
      <c r="H226" s="136" t="s">
        <v>267</v>
      </c>
      <c r="I226" s="136"/>
      <c r="J226" s="135"/>
      <c r="K226" s="135"/>
      <c r="L226" s="135"/>
      <c r="M226" s="135"/>
      <c r="N226" s="135"/>
      <c r="O226" s="133"/>
    </row>
    <row r="227" spans="1:15" s="114" customFormat="1">
      <c r="A227" s="137"/>
    </row>
    <row r="228" spans="1:15" s="114" customFormat="1" ht="30" customHeight="1">
      <c r="A228" s="723" t="s">
        <v>182</v>
      </c>
      <c r="B228" s="723"/>
      <c r="C228" s="359" t="s">
        <v>476</v>
      </c>
      <c r="D228" s="360"/>
      <c r="E228" s="359" t="s">
        <v>477</v>
      </c>
      <c r="F228" s="132"/>
      <c r="G228" s="312" t="s">
        <v>478</v>
      </c>
      <c r="H228" s="96"/>
    </row>
    <row r="229" spans="1:15" s="114" customFormat="1">
      <c r="C229" s="134" t="s">
        <v>268</v>
      </c>
      <c r="D229" s="135"/>
      <c r="E229" s="136" t="s">
        <v>183</v>
      </c>
      <c r="F229" s="135"/>
      <c r="G229" s="724" t="s">
        <v>184</v>
      </c>
      <c r="H229" s="724"/>
    </row>
    <row r="230" spans="1:15" s="114" customFormat="1"/>
    <row r="231" spans="1:15" s="114" customFormat="1"/>
    <row r="232" spans="1:15" s="114" customFormat="1"/>
    <row r="233" spans="1:15" s="114" customFormat="1"/>
    <row r="234" spans="1:15" s="114" customFormat="1">
      <c r="A234" s="723" t="s">
        <v>576</v>
      </c>
      <c r="B234" s="723"/>
      <c r="C234" s="723"/>
      <c r="D234" s="723"/>
      <c r="E234" s="723"/>
    </row>
  </sheetData>
  <mergeCells count="132">
    <mergeCell ref="J1:K1"/>
    <mergeCell ref="I2:K2"/>
    <mergeCell ref="A3:K3"/>
    <mergeCell ref="A6:K6"/>
    <mergeCell ref="A8:B8"/>
    <mergeCell ref="A10:C10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B54:D54"/>
    <mergeCell ref="B55:D55"/>
    <mergeCell ref="B59:C59"/>
    <mergeCell ref="B60:C60"/>
    <mergeCell ref="B61:C61"/>
    <mergeCell ref="B62:C62"/>
    <mergeCell ref="B48:D48"/>
    <mergeCell ref="B49:D49"/>
    <mergeCell ref="B50:D50"/>
    <mergeCell ref="B51:D51"/>
    <mergeCell ref="B52:D52"/>
    <mergeCell ref="B53:D53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102:C102"/>
    <mergeCell ref="B103:C103"/>
    <mergeCell ref="B104:C104"/>
    <mergeCell ref="B108:C108"/>
    <mergeCell ref="B109:C109"/>
    <mergeCell ref="B110:C110"/>
    <mergeCell ref="B96:C96"/>
    <mergeCell ref="B97:C97"/>
    <mergeCell ref="B98:C98"/>
    <mergeCell ref="B99:C99"/>
    <mergeCell ref="B120:C120"/>
    <mergeCell ref="B121:C121"/>
    <mergeCell ref="B123:C123"/>
    <mergeCell ref="B125:C125"/>
    <mergeCell ref="B127:C127"/>
    <mergeCell ref="B111:C111"/>
    <mergeCell ref="B112:C112"/>
    <mergeCell ref="B113:C113"/>
    <mergeCell ref="B114:C114"/>
    <mergeCell ref="B115:C115"/>
    <mergeCell ref="B116:C116"/>
    <mergeCell ref="B122:F122"/>
    <mergeCell ref="B138:C138"/>
    <mergeCell ref="B139:C139"/>
    <mergeCell ref="B140:C140"/>
    <mergeCell ref="B141:C141"/>
    <mergeCell ref="B142:C142"/>
    <mergeCell ref="B143:C143"/>
    <mergeCell ref="B128:C128"/>
    <mergeCell ref="B129:C129"/>
    <mergeCell ref="B131:C131"/>
    <mergeCell ref="B135:C135"/>
    <mergeCell ref="B136:C136"/>
    <mergeCell ref="B137:C137"/>
    <mergeCell ref="B165:C165"/>
    <mergeCell ref="B166:C166"/>
    <mergeCell ref="B167:C167"/>
    <mergeCell ref="B171:C171"/>
    <mergeCell ref="B172:C172"/>
    <mergeCell ref="B173:C173"/>
    <mergeCell ref="B147:C147"/>
    <mergeCell ref="B148:C148"/>
    <mergeCell ref="B149:C149"/>
    <mergeCell ref="B150:C150"/>
    <mergeCell ref="B163:C163"/>
    <mergeCell ref="B164:C164"/>
    <mergeCell ref="B151:C151"/>
    <mergeCell ref="B152:C152"/>
    <mergeCell ref="B153:C153"/>
    <mergeCell ref="B155:C155"/>
    <mergeCell ref="B156:C156"/>
    <mergeCell ref="B157:C157"/>
    <mergeCell ref="B158:C158"/>
    <mergeCell ref="B160:C160"/>
    <mergeCell ref="B161:C161"/>
    <mergeCell ref="B196:C196"/>
    <mergeCell ref="B197:C197"/>
    <mergeCell ref="B198:C198"/>
    <mergeCell ref="B199:C199"/>
    <mergeCell ref="B216:C216"/>
    <mergeCell ref="B217:C217"/>
    <mergeCell ref="B174:C174"/>
    <mergeCell ref="B175:C175"/>
    <mergeCell ref="B189:C189"/>
    <mergeCell ref="B190:C190"/>
    <mergeCell ref="B191:C191"/>
    <mergeCell ref="B192:C192"/>
    <mergeCell ref="B176:C176"/>
    <mergeCell ref="B180:C180"/>
    <mergeCell ref="A228:B228"/>
    <mergeCell ref="G229:H229"/>
    <mergeCell ref="A234:E234"/>
    <mergeCell ref="B218:C218"/>
    <mergeCell ref="B219:C219"/>
    <mergeCell ref="B220:C220"/>
    <mergeCell ref="B222:E222"/>
    <mergeCell ref="A225:C225"/>
    <mergeCell ref="A226:C226"/>
  </mergeCells>
  <pageMargins left="0.7" right="0.7" top="0.75" bottom="0.75" header="0.3" footer="0.3"/>
  <pageSetup paperSize="9" scale="51" orientation="portrait" r:id="rId1"/>
  <rowBreaks count="1" manualBreakCount="1">
    <brk id="13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27"/>
  <sheetViews>
    <sheetView workbookViewId="0">
      <selection activeCell="G222" sqref="G222:H222"/>
    </sheetView>
  </sheetViews>
  <sheetFormatPr defaultRowHeight="15"/>
  <cols>
    <col min="2" max="2" width="17.140625" customWidth="1"/>
    <col min="5" max="5" width="13.28515625" customWidth="1"/>
    <col min="6" max="6" width="11.85546875" customWidth="1"/>
    <col min="7" max="7" width="11" customWidth="1"/>
    <col min="8" max="8" width="12" bestFit="1" customWidth="1"/>
    <col min="11" max="11" width="11.7109375" customWidth="1"/>
  </cols>
  <sheetData>
    <row r="1" spans="1:11" ht="41.25" customHeight="1">
      <c r="A1" s="770" t="s">
        <v>203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341" t="s">
        <v>192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300</v>
      </c>
      <c r="E8" s="113"/>
      <c r="F8" s="113"/>
      <c r="G8" s="113"/>
      <c r="H8" s="113"/>
      <c r="I8" s="113"/>
      <c r="J8" s="113"/>
      <c r="K8" s="113"/>
    </row>
    <row r="9" spans="1:11">
      <c r="A9" s="314"/>
      <c r="B9" s="314"/>
      <c r="C9" s="314"/>
      <c r="D9" s="113"/>
      <c r="E9" s="113"/>
      <c r="F9" s="113"/>
      <c r="G9" s="113"/>
      <c r="H9" s="113"/>
      <c r="I9" s="113"/>
      <c r="J9" s="113"/>
      <c r="K9" s="113"/>
    </row>
    <row r="10" spans="1:11">
      <c r="A10" s="116" t="s">
        <v>206</v>
      </c>
      <c r="B10" s="117"/>
      <c r="C10" s="117"/>
      <c r="D10" s="117"/>
      <c r="E10" s="113"/>
      <c r="F10" s="113"/>
      <c r="G10" s="113"/>
      <c r="H10" s="113"/>
      <c r="I10" s="113"/>
      <c r="J10" s="113"/>
      <c r="K10" s="113"/>
    </row>
    <row r="11" spans="1:11">
      <c r="A11" s="116" t="s">
        <v>207</v>
      </c>
      <c r="B11" s="117"/>
      <c r="C11" s="117"/>
      <c r="D11" s="117"/>
      <c r="E11" s="113"/>
      <c r="F11" s="113"/>
      <c r="G11" s="113"/>
      <c r="H11" s="113"/>
      <c r="I11" s="113"/>
      <c r="J11" s="113"/>
      <c r="K11" s="113"/>
    </row>
    <row r="12" spans="1:11">
      <c r="A12" s="18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5.5" customHeight="1">
      <c r="A13" s="766"/>
      <c r="B13" s="767" t="s">
        <v>208</v>
      </c>
      <c r="C13" s="767" t="s">
        <v>209</v>
      </c>
      <c r="D13" s="767" t="s">
        <v>210</v>
      </c>
      <c r="E13" s="767"/>
      <c r="F13" s="767"/>
      <c r="G13" s="767"/>
      <c r="H13" s="767" t="s">
        <v>211</v>
      </c>
      <c r="I13" s="767" t="s">
        <v>308</v>
      </c>
      <c r="J13" s="767" t="s">
        <v>309</v>
      </c>
      <c r="K13" s="767" t="s">
        <v>530</v>
      </c>
    </row>
    <row r="14" spans="1:11">
      <c r="A14" s="766"/>
      <c r="B14" s="767"/>
      <c r="C14" s="767"/>
      <c r="D14" s="766" t="s">
        <v>212</v>
      </c>
      <c r="E14" s="316" t="s">
        <v>29</v>
      </c>
      <c r="F14" s="316"/>
      <c r="G14" s="316"/>
      <c r="H14" s="767"/>
      <c r="I14" s="767"/>
      <c r="J14" s="767"/>
      <c r="K14" s="767"/>
    </row>
    <row r="15" spans="1:11" ht="48.75">
      <c r="A15" s="766"/>
      <c r="B15" s="767"/>
      <c r="C15" s="767"/>
      <c r="D15" s="766"/>
      <c r="E15" s="120" t="s">
        <v>213</v>
      </c>
      <c r="F15" s="120" t="s">
        <v>214</v>
      </c>
      <c r="G15" s="120" t="s">
        <v>215</v>
      </c>
      <c r="H15" s="767"/>
      <c r="I15" s="767"/>
      <c r="J15" s="767"/>
      <c r="K15" s="767"/>
    </row>
    <row r="16" spans="1:11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  <c r="H16" s="122">
        <v>8</v>
      </c>
      <c r="I16" s="122">
        <v>9</v>
      </c>
      <c r="J16" s="122">
        <v>10</v>
      </c>
      <c r="K16" s="122">
        <v>11</v>
      </c>
    </row>
    <row r="17" spans="1:11">
      <c r="A17" s="122"/>
      <c r="B17" s="122" t="s">
        <v>490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5.5" customHeight="1">
      <c r="A18" s="124">
        <v>1</v>
      </c>
      <c r="B18" s="120" t="s">
        <v>305</v>
      </c>
      <c r="C18" s="125"/>
      <c r="D18" s="125">
        <f>E18+F18+G18</f>
        <v>0</v>
      </c>
      <c r="E18" s="125"/>
      <c r="F18" s="125"/>
      <c r="G18" s="125"/>
      <c r="H18" s="125"/>
      <c r="I18" s="169">
        <f>ROUND((C18*D18+H18)*9,0)</f>
        <v>0</v>
      </c>
      <c r="J18" s="125"/>
      <c r="K18" s="125"/>
    </row>
    <row r="19" spans="1:11">
      <c r="A19" s="124">
        <v>2</v>
      </c>
      <c r="B19" s="120" t="s">
        <v>306</v>
      </c>
      <c r="C19" s="125"/>
      <c r="D19" s="125">
        <f t="shared" ref="D19" si="0">E19+F19+G19</f>
        <v>0</v>
      </c>
      <c r="E19" s="125"/>
      <c r="F19" s="125"/>
      <c r="G19" s="125"/>
      <c r="H19" s="125"/>
      <c r="I19" s="169">
        <f t="shared" ref="I19" si="1">ROUND((C19*D19+H19)*12,0)</f>
        <v>0</v>
      </c>
      <c r="J19" s="125"/>
      <c r="K19" s="125"/>
    </row>
    <row r="20" spans="1:11">
      <c r="A20" s="124">
        <v>3</v>
      </c>
      <c r="B20" s="120" t="s">
        <v>307</v>
      </c>
      <c r="C20" s="125">
        <v>3.8</v>
      </c>
      <c r="D20" s="125">
        <f>E20+F20+G20</f>
        <v>0</v>
      </c>
      <c r="E20" s="125"/>
      <c r="F20" s="125"/>
      <c r="G20" s="125"/>
      <c r="H20" s="125">
        <v>645.67999999999995</v>
      </c>
      <c r="I20" s="169">
        <f>ROUND((C20*D20+H20)*12,0)</f>
        <v>7748</v>
      </c>
      <c r="J20" s="169">
        <f>I20</f>
        <v>7748</v>
      </c>
      <c r="K20" s="169">
        <f>I20</f>
        <v>7748</v>
      </c>
    </row>
    <row r="21" spans="1:11">
      <c r="A21" s="166" t="s">
        <v>216</v>
      </c>
      <c r="B21" s="167"/>
      <c r="C21" s="167"/>
      <c r="D21" s="167"/>
      <c r="E21" s="167"/>
      <c r="F21" s="167"/>
      <c r="G21" s="167"/>
      <c r="H21" s="167"/>
      <c r="I21" s="170">
        <f>SUM(I18:I20)</f>
        <v>7748</v>
      </c>
      <c r="J21" s="170">
        <f>SUM(J18:J20)</f>
        <v>7748</v>
      </c>
      <c r="K21" s="170">
        <f>SUM(K18:K20)</f>
        <v>7748</v>
      </c>
    </row>
    <row r="22" spans="1:11">
      <c r="A22" s="18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idden="1">
      <c r="A23" s="67" t="s">
        <v>217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362"/>
    </row>
    <row r="24" spans="1:11" hidden="1">
      <c r="A24" s="18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84.75" hidden="1">
      <c r="A25" s="126" t="s">
        <v>218</v>
      </c>
      <c r="B25" s="120" t="s">
        <v>219</v>
      </c>
      <c r="C25" s="120" t="s">
        <v>220</v>
      </c>
      <c r="D25" s="120" t="s">
        <v>221</v>
      </c>
      <c r="E25" s="120" t="s">
        <v>222</v>
      </c>
      <c r="F25" s="120" t="s">
        <v>223</v>
      </c>
      <c r="G25" s="120" t="s">
        <v>223</v>
      </c>
      <c r="H25" s="120" t="s">
        <v>223</v>
      </c>
      <c r="I25" s="127"/>
      <c r="J25" s="127"/>
      <c r="K25" s="127"/>
    </row>
    <row r="26" spans="1:11" hidden="1">
      <c r="A26" s="122">
        <v>1</v>
      </c>
      <c r="B26" s="122">
        <v>2</v>
      </c>
      <c r="C26" s="122">
        <v>3</v>
      </c>
      <c r="D26" s="122">
        <v>4</v>
      </c>
      <c r="E26" s="122">
        <v>5</v>
      </c>
      <c r="F26" s="122">
        <v>6</v>
      </c>
      <c r="G26" s="122">
        <v>7</v>
      </c>
      <c r="H26" s="122">
        <v>8</v>
      </c>
      <c r="I26" s="315"/>
      <c r="J26" s="315"/>
      <c r="K26" s="315"/>
    </row>
    <row r="27" spans="1:11" hidden="1">
      <c r="A27" s="124"/>
      <c r="B27" s="125"/>
      <c r="C27" s="125"/>
      <c r="D27" s="125"/>
      <c r="E27" s="125"/>
      <c r="F27" s="125"/>
      <c r="G27" s="125"/>
      <c r="H27" s="125"/>
      <c r="I27" s="113"/>
      <c r="J27" s="113"/>
      <c r="K27" s="113"/>
    </row>
    <row r="28" spans="1:11" hidden="1">
      <c r="A28" s="124"/>
      <c r="B28" s="125"/>
      <c r="C28" s="125"/>
      <c r="D28" s="125"/>
      <c r="E28" s="125"/>
      <c r="F28" s="125"/>
      <c r="G28" s="125"/>
      <c r="H28" s="125"/>
      <c r="I28" s="113"/>
      <c r="J28" s="113"/>
      <c r="K28" s="113"/>
    </row>
    <row r="29" spans="1:11" hidden="1">
      <c r="A29" s="124"/>
      <c r="B29" s="125"/>
      <c r="C29" s="125"/>
      <c r="D29" s="125"/>
      <c r="E29" s="125"/>
      <c r="F29" s="125"/>
      <c r="G29" s="125"/>
      <c r="H29" s="125"/>
      <c r="I29" s="113"/>
      <c r="J29" s="113"/>
      <c r="K29" s="113"/>
    </row>
    <row r="30" spans="1:11" hidden="1">
      <c r="A30" s="124"/>
      <c r="B30" s="125"/>
      <c r="C30" s="125"/>
      <c r="D30" s="125"/>
      <c r="E30" s="125"/>
      <c r="F30" s="125"/>
      <c r="G30" s="125"/>
      <c r="H30" s="125"/>
      <c r="I30" s="113"/>
      <c r="J30" s="113"/>
      <c r="K30" s="113"/>
    </row>
    <row r="31" spans="1:11" hidden="1">
      <c r="A31" s="124"/>
      <c r="B31" s="125"/>
      <c r="C31" s="125"/>
      <c r="D31" s="125"/>
      <c r="E31" s="125"/>
      <c r="F31" s="125"/>
      <c r="G31" s="125"/>
      <c r="H31" s="125"/>
      <c r="I31" s="113"/>
      <c r="J31" s="113"/>
      <c r="K31" s="113"/>
    </row>
    <row r="32" spans="1:11" hidden="1">
      <c r="A32" s="124"/>
      <c r="B32" s="125"/>
      <c r="C32" s="125"/>
      <c r="D32" s="125"/>
      <c r="E32" s="125"/>
      <c r="F32" s="125"/>
      <c r="G32" s="125"/>
      <c r="H32" s="125"/>
      <c r="I32" s="113"/>
      <c r="J32" s="113"/>
      <c r="K32" s="113"/>
    </row>
    <row r="33" spans="1:11" hidden="1">
      <c r="A33" s="124"/>
      <c r="B33" s="125"/>
      <c r="C33" s="125"/>
      <c r="D33" s="125"/>
      <c r="E33" s="125"/>
      <c r="F33" s="125"/>
      <c r="G33" s="125"/>
      <c r="H33" s="125"/>
      <c r="I33" s="113"/>
      <c r="J33" s="113"/>
      <c r="K33" s="113"/>
    </row>
    <row r="34" spans="1:11" hidden="1">
      <c r="A34" s="18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>
      <c r="A35" s="763" t="s">
        <v>224</v>
      </c>
      <c r="B35" s="763"/>
      <c r="C35" s="763"/>
      <c r="D35" s="763"/>
      <c r="E35" s="763"/>
      <c r="F35" s="763"/>
      <c r="G35" s="763"/>
      <c r="H35" s="763"/>
      <c r="I35" s="113"/>
      <c r="J35" s="113"/>
      <c r="K35" s="113"/>
    </row>
    <row r="36" spans="1:11">
      <c r="A36" s="18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48.75">
      <c r="A37" s="126" t="s">
        <v>218</v>
      </c>
      <c r="B37" s="733" t="s">
        <v>225</v>
      </c>
      <c r="C37" s="764"/>
      <c r="D37" s="734"/>
      <c r="E37" s="120" t="s">
        <v>226</v>
      </c>
      <c r="F37" s="120" t="s">
        <v>301</v>
      </c>
      <c r="G37" s="120" t="s">
        <v>302</v>
      </c>
      <c r="H37" s="120" t="s">
        <v>421</v>
      </c>
      <c r="I37" s="113"/>
      <c r="J37" s="113"/>
      <c r="K37" s="113"/>
    </row>
    <row r="38" spans="1:11">
      <c r="A38" s="122">
        <v>1</v>
      </c>
      <c r="B38" s="725">
        <v>2</v>
      </c>
      <c r="C38" s="765"/>
      <c r="D38" s="726"/>
      <c r="E38" s="122">
        <v>3</v>
      </c>
      <c r="F38" s="122">
        <v>4</v>
      </c>
      <c r="G38" s="122">
        <v>5</v>
      </c>
      <c r="H38" s="122">
        <v>6</v>
      </c>
      <c r="I38" s="113"/>
      <c r="J38" s="113"/>
      <c r="K38" s="113"/>
    </row>
    <row r="39" spans="1:11">
      <c r="A39" s="124">
        <v>1</v>
      </c>
      <c r="B39" s="759" t="s">
        <v>227</v>
      </c>
      <c r="C39" s="760"/>
      <c r="D39" s="761"/>
      <c r="E39" s="169"/>
      <c r="F39" s="169">
        <f>F41</f>
        <v>1705</v>
      </c>
      <c r="G39" s="169">
        <f t="shared" ref="G39" si="2">G41</f>
        <v>1705</v>
      </c>
      <c r="H39" s="169">
        <f>H41</f>
        <v>1705</v>
      </c>
      <c r="I39" s="113"/>
      <c r="J39" s="113"/>
      <c r="K39" s="113"/>
    </row>
    <row r="40" spans="1:11">
      <c r="A40" s="124"/>
      <c r="B40" s="759" t="s">
        <v>29</v>
      </c>
      <c r="C40" s="760"/>
      <c r="D40" s="761"/>
      <c r="E40" s="169"/>
      <c r="F40" s="169"/>
      <c r="G40" s="169"/>
      <c r="H40" s="169"/>
      <c r="I40" s="113"/>
      <c r="J40" s="113"/>
      <c r="K40" s="113"/>
    </row>
    <row r="41" spans="1:11">
      <c r="A41" s="130"/>
      <c r="B41" s="759" t="s">
        <v>228</v>
      </c>
      <c r="C41" s="760"/>
      <c r="D41" s="761"/>
      <c r="E41" s="169">
        <f>I20+I18</f>
        <v>7748</v>
      </c>
      <c r="F41" s="169">
        <f>ROUND(E41*0.22,0)</f>
        <v>1705</v>
      </c>
      <c r="G41" s="169">
        <f>ROUND(J21*0.22,0)</f>
        <v>1705</v>
      </c>
      <c r="H41" s="169">
        <f>ROUND(K21*0.22,0)</f>
        <v>1705</v>
      </c>
      <c r="I41" s="113"/>
      <c r="J41" s="113"/>
      <c r="K41" s="113"/>
    </row>
    <row r="42" spans="1:11">
      <c r="A42" s="124">
        <v>2</v>
      </c>
      <c r="B42" s="759" t="s">
        <v>229</v>
      </c>
      <c r="C42" s="760"/>
      <c r="D42" s="761"/>
      <c r="E42" s="169"/>
      <c r="F42" s="169">
        <f>F43+F44</f>
        <v>240</v>
      </c>
      <c r="G42" s="169">
        <f t="shared" ref="G42:H42" si="3">G43+G44</f>
        <v>240</v>
      </c>
      <c r="H42" s="169">
        <f t="shared" si="3"/>
        <v>240</v>
      </c>
      <c r="I42" s="113"/>
      <c r="J42" s="113"/>
      <c r="K42" s="113"/>
    </row>
    <row r="43" spans="1:11">
      <c r="A43" s="124"/>
      <c r="B43" s="759" t="s">
        <v>230</v>
      </c>
      <c r="C43" s="760"/>
      <c r="D43" s="761"/>
      <c r="E43" s="169">
        <f>E41</f>
        <v>7748</v>
      </c>
      <c r="F43" s="169">
        <f>ROUND(E43*0.029,0)</f>
        <v>225</v>
      </c>
      <c r="G43" s="169">
        <f>ROUND(J21*0.029,0)</f>
        <v>225</v>
      </c>
      <c r="H43" s="169">
        <f>ROUND(K21*0.029,0)</f>
        <v>225</v>
      </c>
      <c r="I43" s="113"/>
      <c r="J43" s="113"/>
      <c r="K43" s="113"/>
    </row>
    <row r="44" spans="1:11">
      <c r="A44" s="124"/>
      <c r="B44" s="759" t="s">
        <v>231</v>
      </c>
      <c r="C44" s="760"/>
      <c r="D44" s="761"/>
      <c r="E44" s="169">
        <f>E43</f>
        <v>7748</v>
      </c>
      <c r="F44" s="169">
        <f>ROUND(E44*0.002,0)</f>
        <v>15</v>
      </c>
      <c r="G44" s="169">
        <f>ROUND(J21*0.002,0)</f>
        <v>15</v>
      </c>
      <c r="H44" s="169">
        <f>ROUND(K21*0.002,0)</f>
        <v>15</v>
      </c>
      <c r="I44" s="113"/>
      <c r="J44" s="113"/>
      <c r="K44" s="113"/>
    </row>
    <row r="45" spans="1:11">
      <c r="A45" s="124">
        <v>3</v>
      </c>
      <c r="B45" s="759" t="s">
        <v>232</v>
      </c>
      <c r="C45" s="760"/>
      <c r="D45" s="761"/>
      <c r="E45" s="169">
        <f>E44</f>
        <v>7748</v>
      </c>
      <c r="F45" s="169">
        <f>ROUND(E45*0.051,0)</f>
        <v>395</v>
      </c>
      <c r="G45" s="169">
        <f>ROUND(J21*0.051,0)</f>
        <v>395</v>
      </c>
      <c r="H45" s="169">
        <f>ROUND(K21*0.051,0)</f>
        <v>395</v>
      </c>
      <c r="I45" s="113"/>
      <c r="J45" s="113"/>
      <c r="K45" s="113"/>
    </row>
    <row r="46" spans="1:11">
      <c r="A46" s="166"/>
      <c r="B46" s="762" t="s">
        <v>216</v>
      </c>
      <c r="C46" s="762"/>
      <c r="D46" s="762"/>
      <c r="E46" s="170"/>
      <c r="F46" s="170">
        <f>F39+F42+F45</f>
        <v>2340</v>
      </c>
      <c r="G46" s="170">
        <f t="shared" ref="G46:H46" si="4">G39+G42+G45</f>
        <v>2340</v>
      </c>
      <c r="H46" s="170">
        <f t="shared" si="4"/>
        <v>2340</v>
      </c>
      <c r="I46" s="171"/>
      <c r="J46" s="171"/>
      <c r="K46" s="171"/>
    </row>
    <row r="47" spans="1:11" ht="15.75" thickBot="1">
      <c r="A47" s="18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idden="1">
      <c r="A48" s="67" t="s">
        <v>233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hidden="1">
      <c r="A49" s="18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1:11" ht="48.75" hidden="1">
      <c r="A50" s="126" t="s">
        <v>218</v>
      </c>
      <c r="B50" s="733" t="s">
        <v>0</v>
      </c>
      <c r="C50" s="734"/>
      <c r="D50" s="120" t="s">
        <v>234</v>
      </c>
      <c r="E50" s="120" t="s">
        <v>235</v>
      </c>
      <c r="F50" s="120" t="s">
        <v>484</v>
      </c>
      <c r="G50" s="120" t="s">
        <v>303</v>
      </c>
      <c r="H50" s="120" t="s">
        <v>304</v>
      </c>
      <c r="I50" s="113"/>
      <c r="J50" s="113"/>
      <c r="K50" s="113"/>
    </row>
    <row r="51" spans="1:11" hidden="1">
      <c r="A51" s="122">
        <v>1</v>
      </c>
      <c r="B51" s="725">
        <v>2</v>
      </c>
      <c r="C51" s="726"/>
      <c r="D51" s="122">
        <v>3</v>
      </c>
      <c r="E51" s="122">
        <v>4</v>
      </c>
      <c r="F51" s="122">
        <v>5</v>
      </c>
      <c r="G51" s="122">
        <v>6</v>
      </c>
      <c r="H51" s="122">
        <v>7</v>
      </c>
      <c r="I51" s="113"/>
      <c r="J51" s="113"/>
      <c r="K51" s="113"/>
    </row>
    <row r="52" spans="1:11" hidden="1">
      <c r="A52" s="124">
        <v>1</v>
      </c>
      <c r="B52" s="725" t="s">
        <v>310</v>
      </c>
      <c r="C52" s="726"/>
      <c r="D52" s="125"/>
      <c r="E52" s="125"/>
      <c r="F52" s="169">
        <f>D52*E52</f>
        <v>0</v>
      </c>
      <c r="G52" s="169"/>
      <c r="H52" s="169"/>
      <c r="I52" s="113"/>
      <c r="J52" s="113"/>
      <c r="K52" s="113"/>
    </row>
    <row r="53" spans="1:11" hidden="1">
      <c r="A53" s="124">
        <v>2</v>
      </c>
      <c r="B53" s="725" t="s">
        <v>352</v>
      </c>
      <c r="C53" s="726"/>
      <c r="D53" s="125"/>
      <c r="E53" s="125"/>
      <c r="F53" s="169">
        <f t="shared" ref="F53:F57" si="5">D53*E53</f>
        <v>0</v>
      </c>
      <c r="G53" s="169"/>
      <c r="H53" s="169"/>
      <c r="I53" s="113"/>
      <c r="J53" s="113"/>
      <c r="K53" s="113"/>
    </row>
    <row r="54" spans="1:11" hidden="1">
      <c r="A54" s="124"/>
      <c r="B54" s="725"/>
      <c r="C54" s="726"/>
      <c r="D54" s="125"/>
      <c r="E54" s="125"/>
      <c r="F54" s="169">
        <f t="shared" si="5"/>
        <v>0</v>
      </c>
      <c r="G54" s="169"/>
      <c r="H54" s="169"/>
      <c r="I54" s="113"/>
      <c r="J54" s="113"/>
      <c r="K54" s="113"/>
    </row>
    <row r="55" spans="1:11" hidden="1">
      <c r="A55" s="124"/>
      <c r="B55" s="725"/>
      <c r="C55" s="726"/>
      <c r="D55" s="125"/>
      <c r="E55" s="125"/>
      <c r="F55" s="169">
        <f t="shared" si="5"/>
        <v>0</v>
      </c>
      <c r="G55" s="169"/>
      <c r="H55" s="169"/>
      <c r="I55" s="113"/>
      <c r="J55" s="113"/>
      <c r="K55" s="113"/>
    </row>
    <row r="56" spans="1:11" hidden="1">
      <c r="A56" s="124"/>
      <c r="B56" s="725"/>
      <c r="C56" s="726"/>
      <c r="D56" s="125"/>
      <c r="E56" s="125"/>
      <c r="F56" s="169">
        <f t="shared" si="5"/>
        <v>0</v>
      </c>
      <c r="G56" s="169"/>
      <c r="H56" s="169"/>
      <c r="I56" s="113"/>
      <c r="J56" s="113"/>
      <c r="K56" s="113"/>
    </row>
    <row r="57" spans="1:11" hidden="1">
      <c r="A57" s="124"/>
      <c r="B57" s="725"/>
      <c r="C57" s="726"/>
      <c r="D57" s="125"/>
      <c r="E57" s="125"/>
      <c r="F57" s="169">
        <f t="shared" si="5"/>
        <v>0</v>
      </c>
      <c r="G57" s="169"/>
      <c r="H57" s="169"/>
      <c r="I57" s="113"/>
      <c r="J57" s="113"/>
      <c r="K57" s="113"/>
    </row>
    <row r="58" spans="1:11" hidden="1">
      <c r="A58" s="166"/>
      <c r="B58" s="727" t="s">
        <v>216</v>
      </c>
      <c r="C58" s="728"/>
      <c r="D58" s="167"/>
      <c r="E58" s="167"/>
      <c r="F58" s="170">
        <f>SUM(F52:F57)</f>
        <v>0</v>
      </c>
      <c r="G58" s="170">
        <f t="shared" ref="G58:H58" si="6">SUM(G52:G57)</f>
        <v>0</v>
      </c>
      <c r="H58" s="170">
        <f t="shared" si="6"/>
        <v>0</v>
      </c>
      <c r="I58" s="171"/>
      <c r="J58" s="171"/>
      <c r="K58" s="171"/>
    </row>
    <row r="59" spans="1:11" hidden="1">
      <c r="A59" s="18"/>
      <c r="B59" s="113"/>
      <c r="C59" s="113"/>
      <c r="D59" s="113"/>
      <c r="E59" s="113"/>
      <c r="F59" s="113"/>
      <c r="G59" s="113"/>
      <c r="H59" s="113"/>
      <c r="I59" s="113"/>
      <c r="J59" s="113"/>
      <c r="K59" s="113"/>
    </row>
    <row r="60" spans="1:11" hidden="1">
      <c r="A60" s="67" t="s">
        <v>236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</row>
    <row r="61" spans="1:11" hidden="1">
      <c r="A61" s="18"/>
      <c r="B61" s="113"/>
      <c r="C61" s="113"/>
      <c r="D61" s="113"/>
      <c r="E61" s="113"/>
      <c r="F61" s="113"/>
      <c r="G61" s="113"/>
      <c r="H61" s="113"/>
      <c r="I61" s="113"/>
      <c r="J61" s="113"/>
      <c r="K61" s="113"/>
    </row>
    <row r="62" spans="1:11" ht="72.75" hidden="1">
      <c r="A62" s="126" t="s">
        <v>218</v>
      </c>
      <c r="B62" s="733" t="s">
        <v>237</v>
      </c>
      <c r="C62" s="734"/>
      <c r="D62" s="120" t="s">
        <v>238</v>
      </c>
      <c r="E62" s="120" t="s">
        <v>239</v>
      </c>
      <c r="F62" s="120" t="s">
        <v>485</v>
      </c>
      <c r="G62" s="120" t="s">
        <v>486</v>
      </c>
      <c r="H62" s="120" t="s">
        <v>487</v>
      </c>
      <c r="I62" s="113"/>
      <c r="J62" s="113"/>
      <c r="K62" s="113"/>
    </row>
    <row r="63" spans="1:11" hidden="1">
      <c r="A63" s="122">
        <v>1</v>
      </c>
      <c r="B63" s="725">
        <v>2</v>
      </c>
      <c r="C63" s="726"/>
      <c r="D63" s="122">
        <v>3</v>
      </c>
      <c r="E63" s="122">
        <v>4</v>
      </c>
      <c r="F63" s="122">
        <v>5</v>
      </c>
      <c r="G63" s="122">
        <v>6</v>
      </c>
      <c r="H63" s="122">
        <v>7</v>
      </c>
      <c r="I63" s="113"/>
      <c r="J63" s="113"/>
      <c r="K63" s="113"/>
    </row>
    <row r="64" spans="1:11" hidden="1">
      <c r="A64" s="124">
        <v>1</v>
      </c>
      <c r="B64" s="756" t="s">
        <v>311</v>
      </c>
      <c r="C64" s="757"/>
      <c r="D64" s="125"/>
      <c r="E64" s="174"/>
      <c r="F64" s="169"/>
      <c r="G64" s="169"/>
      <c r="H64" s="169"/>
      <c r="I64" s="113"/>
      <c r="J64" s="113"/>
      <c r="K64" s="113"/>
    </row>
    <row r="65" spans="1:11" hidden="1">
      <c r="A65" s="124">
        <v>2</v>
      </c>
      <c r="B65" s="756" t="s">
        <v>312</v>
      </c>
      <c r="C65" s="757"/>
      <c r="D65" s="125"/>
      <c r="E65" s="174"/>
      <c r="F65" s="169">
        <f>ROUND(D65*E65,0)</f>
        <v>0</v>
      </c>
      <c r="G65" s="169">
        <f>F65</f>
        <v>0</v>
      </c>
      <c r="H65" s="169">
        <f>G65</f>
        <v>0</v>
      </c>
      <c r="I65" s="113"/>
      <c r="J65" s="113"/>
      <c r="K65" s="113"/>
    </row>
    <row r="66" spans="1:11" hidden="1">
      <c r="A66" s="124"/>
      <c r="B66" s="725"/>
      <c r="C66" s="726"/>
      <c r="D66" s="125"/>
      <c r="E66" s="125"/>
      <c r="F66" s="169"/>
      <c r="G66" s="169"/>
      <c r="H66" s="169"/>
      <c r="I66" s="113"/>
      <c r="J66" s="113"/>
      <c r="K66" s="113"/>
    </row>
    <row r="67" spans="1:11" hidden="1">
      <c r="A67" s="124"/>
      <c r="B67" s="725"/>
      <c r="C67" s="726"/>
      <c r="D67" s="125"/>
      <c r="E67" s="125"/>
      <c r="F67" s="169"/>
      <c r="G67" s="169"/>
      <c r="H67" s="169"/>
      <c r="I67" s="113"/>
      <c r="J67" s="113"/>
      <c r="K67" s="113"/>
    </row>
    <row r="68" spans="1:11" hidden="1">
      <c r="A68" s="124"/>
      <c r="B68" s="725"/>
      <c r="C68" s="726"/>
      <c r="D68" s="125"/>
      <c r="E68" s="125"/>
      <c r="F68" s="169"/>
      <c r="G68" s="169"/>
      <c r="H68" s="169"/>
      <c r="I68" s="113"/>
      <c r="J68" s="113"/>
      <c r="K68" s="113"/>
    </row>
    <row r="69" spans="1:11" hidden="1">
      <c r="A69" s="124"/>
      <c r="B69" s="725"/>
      <c r="C69" s="726"/>
      <c r="D69" s="125"/>
      <c r="E69" s="125"/>
      <c r="F69" s="169"/>
      <c r="G69" s="169"/>
      <c r="H69" s="169"/>
      <c r="I69" s="113"/>
      <c r="J69" s="113"/>
      <c r="K69" s="113"/>
    </row>
    <row r="70" spans="1:11" hidden="1">
      <c r="A70" s="166"/>
      <c r="B70" s="727" t="s">
        <v>216</v>
      </c>
      <c r="C70" s="728"/>
      <c r="D70" s="167"/>
      <c r="E70" s="167"/>
      <c r="F70" s="170">
        <f>SUM(F64:F69)</f>
        <v>0</v>
      </c>
      <c r="G70" s="170">
        <f t="shared" ref="G70:H70" si="7">SUM(G64:G69)</f>
        <v>0</v>
      </c>
      <c r="H70" s="170">
        <f t="shared" si="7"/>
        <v>0</v>
      </c>
      <c r="I70" s="171"/>
      <c r="J70" s="171"/>
      <c r="K70" s="171"/>
    </row>
    <row r="71" spans="1:11" hidden="1">
      <c r="A71" s="18"/>
      <c r="B71" s="113"/>
      <c r="C71" s="113"/>
      <c r="D71" s="113"/>
      <c r="E71" s="113"/>
      <c r="F71" s="113"/>
      <c r="G71" s="113"/>
      <c r="H71" s="113"/>
      <c r="I71" s="113"/>
      <c r="J71" s="113"/>
      <c r="K71" s="113"/>
    </row>
    <row r="72" spans="1:11" hidden="1">
      <c r="A72" s="758" t="s">
        <v>240</v>
      </c>
      <c r="B72" s="758"/>
      <c r="C72" s="758"/>
      <c r="D72" s="758"/>
      <c r="E72" s="758"/>
      <c r="F72" s="758"/>
      <c r="G72" s="758"/>
      <c r="H72" s="758"/>
      <c r="I72" s="113"/>
      <c r="J72" s="113"/>
      <c r="K72" s="113"/>
    </row>
    <row r="73" spans="1:11" hidden="1">
      <c r="A73" s="18"/>
      <c r="B73" s="113"/>
      <c r="C73" s="113"/>
      <c r="D73" s="113"/>
      <c r="E73" s="113"/>
      <c r="F73" s="113"/>
      <c r="G73" s="113"/>
      <c r="H73" s="113"/>
      <c r="I73" s="113"/>
      <c r="J73" s="113"/>
      <c r="K73" s="113"/>
    </row>
    <row r="74" spans="1:11" ht="48.75" hidden="1">
      <c r="A74" s="126" t="s">
        <v>218</v>
      </c>
      <c r="B74" s="733" t="s">
        <v>0</v>
      </c>
      <c r="C74" s="734"/>
      <c r="D74" s="120" t="s">
        <v>241</v>
      </c>
      <c r="E74" s="120" t="s">
        <v>235</v>
      </c>
      <c r="F74" s="120" t="s">
        <v>242</v>
      </c>
      <c r="G74" s="120" t="s">
        <v>242</v>
      </c>
      <c r="H74" s="120" t="s">
        <v>242</v>
      </c>
      <c r="I74" s="113"/>
      <c r="J74" s="113"/>
      <c r="K74" s="113"/>
    </row>
    <row r="75" spans="1:11" hidden="1">
      <c r="A75" s="122">
        <v>1</v>
      </c>
      <c r="B75" s="725">
        <v>2</v>
      </c>
      <c r="C75" s="726"/>
      <c r="D75" s="122">
        <v>3</v>
      </c>
      <c r="E75" s="122">
        <v>4</v>
      </c>
      <c r="F75" s="122">
        <v>5</v>
      </c>
      <c r="G75" s="122">
        <v>6</v>
      </c>
      <c r="H75" s="122">
        <v>7</v>
      </c>
      <c r="I75" s="113"/>
      <c r="J75" s="113"/>
      <c r="K75" s="113"/>
    </row>
    <row r="76" spans="1:11" hidden="1">
      <c r="A76" s="124"/>
      <c r="B76" s="725"/>
      <c r="C76" s="726"/>
      <c r="D76" s="125"/>
      <c r="E76" s="125"/>
      <c r="F76" s="125"/>
      <c r="G76" s="125"/>
      <c r="H76" s="125"/>
      <c r="I76" s="113"/>
      <c r="J76" s="113"/>
      <c r="K76" s="113"/>
    </row>
    <row r="77" spans="1:11" hidden="1">
      <c r="A77" s="124"/>
      <c r="B77" s="725"/>
      <c r="C77" s="726"/>
      <c r="D77" s="125"/>
      <c r="E77" s="125"/>
      <c r="F77" s="125"/>
      <c r="G77" s="125"/>
      <c r="H77" s="125"/>
      <c r="I77" s="113"/>
      <c r="J77" s="113"/>
      <c r="K77" s="113"/>
    </row>
    <row r="78" spans="1:11" hidden="1">
      <c r="A78" s="124"/>
      <c r="B78" s="725"/>
      <c r="C78" s="726"/>
      <c r="D78" s="125"/>
      <c r="E78" s="125"/>
      <c r="F78" s="125"/>
      <c r="G78" s="125"/>
      <c r="H78" s="125"/>
      <c r="I78" s="113"/>
      <c r="J78" s="113"/>
      <c r="K78" s="113"/>
    </row>
    <row r="79" spans="1:11" hidden="1">
      <c r="A79" s="124"/>
      <c r="B79" s="725"/>
      <c r="C79" s="726"/>
      <c r="D79" s="125"/>
      <c r="E79" s="125"/>
      <c r="F79" s="125"/>
      <c r="G79" s="125"/>
      <c r="H79" s="125"/>
      <c r="I79" s="113"/>
      <c r="J79" s="113"/>
      <c r="K79" s="113"/>
    </row>
    <row r="80" spans="1:11" hidden="1">
      <c r="A80" s="124"/>
      <c r="B80" s="725"/>
      <c r="C80" s="726"/>
      <c r="D80" s="125"/>
      <c r="E80" s="125"/>
      <c r="F80" s="125"/>
      <c r="G80" s="125"/>
      <c r="H80" s="125"/>
      <c r="I80" s="113"/>
      <c r="J80" s="113"/>
      <c r="K80" s="113"/>
    </row>
    <row r="81" spans="1:11" hidden="1">
      <c r="A81" s="124"/>
      <c r="B81" s="725"/>
      <c r="C81" s="726"/>
      <c r="D81" s="125"/>
      <c r="E81" s="125"/>
      <c r="F81" s="125"/>
      <c r="G81" s="125"/>
      <c r="H81" s="125"/>
      <c r="I81" s="113"/>
      <c r="J81" s="113"/>
      <c r="K81" s="113"/>
    </row>
    <row r="82" spans="1:11" hidden="1">
      <c r="A82" s="124"/>
      <c r="B82" s="725" t="s">
        <v>216</v>
      </c>
      <c r="C82" s="726"/>
      <c r="D82" s="125"/>
      <c r="E82" s="125"/>
      <c r="F82" s="125"/>
      <c r="G82" s="125"/>
      <c r="H82" s="125"/>
      <c r="I82" s="113"/>
      <c r="J82" s="113"/>
      <c r="K82" s="113"/>
    </row>
    <row r="83" spans="1:11" hidden="1">
      <c r="A83" s="18"/>
      <c r="B83" s="113"/>
      <c r="C83" s="113"/>
      <c r="D83" s="113"/>
      <c r="E83" s="113"/>
      <c r="F83" s="113"/>
      <c r="G83" s="113"/>
      <c r="H83" s="113"/>
      <c r="I83" s="113"/>
      <c r="J83" s="113"/>
      <c r="K83" s="113"/>
    </row>
    <row r="84" spans="1:11" hidden="1">
      <c r="A84" s="67" t="s">
        <v>243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idden="1">
      <c r="A85" s="67" t="s">
        <v>244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idden="1">
      <c r="A86" s="18"/>
      <c r="B86" s="113"/>
      <c r="C86" s="113"/>
      <c r="D86" s="113"/>
      <c r="E86" s="113"/>
      <c r="F86" s="113"/>
      <c r="G86" s="113"/>
      <c r="H86" s="113"/>
      <c r="I86" s="113"/>
      <c r="J86" s="113"/>
      <c r="K86" s="113"/>
    </row>
    <row r="87" spans="1:11" ht="36.75" hidden="1">
      <c r="A87" s="126" t="s">
        <v>218</v>
      </c>
      <c r="B87" s="733" t="s">
        <v>313</v>
      </c>
      <c r="C87" s="734"/>
      <c r="D87" s="120" t="s">
        <v>245</v>
      </c>
      <c r="E87" s="120" t="s">
        <v>246</v>
      </c>
      <c r="F87" s="120" t="s">
        <v>247</v>
      </c>
      <c r="G87" s="120" t="s">
        <v>484</v>
      </c>
      <c r="H87" s="120" t="s">
        <v>303</v>
      </c>
      <c r="I87" s="120" t="s">
        <v>304</v>
      </c>
      <c r="J87" s="113"/>
      <c r="K87" s="113"/>
    </row>
    <row r="88" spans="1:11" hidden="1">
      <c r="A88" s="122">
        <v>1</v>
      </c>
      <c r="B88" s="725">
        <v>2</v>
      </c>
      <c r="C88" s="726"/>
      <c r="D88" s="122">
        <v>3</v>
      </c>
      <c r="E88" s="122">
        <v>4</v>
      </c>
      <c r="F88" s="122">
        <v>5</v>
      </c>
      <c r="G88" s="122">
        <v>6</v>
      </c>
      <c r="H88" s="122">
        <v>7</v>
      </c>
      <c r="I88" s="122">
        <v>8</v>
      </c>
      <c r="J88" s="113"/>
      <c r="K88" s="113"/>
    </row>
    <row r="89" spans="1:11" hidden="1">
      <c r="A89" s="124"/>
      <c r="B89" s="756" t="s">
        <v>488</v>
      </c>
      <c r="C89" s="757"/>
      <c r="D89" s="125"/>
      <c r="E89" s="125"/>
      <c r="F89" s="125"/>
      <c r="G89" s="169"/>
      <c r="H89" s="169"/>
      <c r="I89" s="169"/>
      <c r="J89" s="113"/>
      <c r="K89" s="113"/>
    </row>
    <row r="90" spans="1:11" hidden="1">
      <c r="A90" s="124"/>
      <c r="B90" s="756" t="s">
        <v>314</v>
      </c>
      <c r="C90" s="757"/>
      <c r="D90" s="125"/>
      <c r="E90" s="125"/>
      <c r="F90" s="125"/>
      <c r="G90" s="169"/>
      <c r="H90" s="169"/>
      <c r="I90" s="169"/>
      <c r="J90" s="113"/>
      <c r="K90" s="113"/>
    </row>
    <row r="91" spans="1:11" hidden="1">
      <c r="A91" s="124"/>
      <c r="B91" s="319" t="s">
        <v>315</v>
      </c>
      <c r="C91" s="320"/>
      <c r="D91" s="125"/>
      <c r="E91" s="125"/>
      <c r="F91" s="125"/>
      <c r="G91" s="169"/>
      <c r="H91" s="169"/>
      <c r="I91" s="169"/>
      <c r="J91" s="113"/>
      <c r="K91" s="113"/>
    </row>
    <row r="92" spans="1:11" hidden="1">
      <c r="A92" s="124"/>
      <c r="B92" s="319" t="s">
        <v>316</v>
      </c>
      <c r="C92" s="320"/>
      <c r="D92" s="125"/>
      <c r="E92" s="125"/>
      <c r="F92" s="125"/>
      <c r="G92" s="169"/>
      <c r="H92" s="169"/>
      <c r="I92" s="169"/>
      <c r="J92" s="113"/>
      <c r="K92" s="113"/>
    </row>
    <row r="93" spans="1:11" hidden="1">
      <c r="A93" s="124"/>
      <c r="B93" s="725"/>
      <c r="C93" s="726"/>
      <c r="D93" s="125"/>
      <c r="E93" s="125"/>
      <c r="F93" s="125"/>
      <c r="G93" s="169"/>
      <c r="H93" s="169"/>
      <c r="I93" s="169"/>
      <c r="J93" s="113"/>
      <c r="K93" s="113"/>
    </row>
    <row r="94" spans="1:11" hidden="1">
      <c r="A94" s="124"/>
      <c r="B94" s="725"/>
      <c r="C94" s="726"/>
      <c r="D94" s="125"/>
      <c r="E94" s="125"/>
      <c r="F94" s="125"/>
      <c r="G94" s="169"/>
      <c r="H94" s="169"/>
      <c r="I94" s="169"/>
      <c r="J94" s="113"/>
      <c r="K94" s="113"/>
    </row>
    <row r="95" spans="1:11" hidden="1">
      <c r="A95" s="166"/>
      <c r="B95" s="727" t="s">
        <v>216</v>
      </c>
      <c r="C95" s="728"/>
      <c r="D95" s="167"/>
      <c r="E95" s="167"/>
      <c r="F95" s="167"/>
      <c r="G95" s="170">
        <f>ROUND(SUM(G89:G94),0)</f>
        <v>0</v>
      </c>
      <c r="H95" s="170">
        <f t="shared" ref="H95:I95" si="8">ROUND(SUM(H89:H94),0)</f>
        <v>0</v>
      </c>
      <c r="I95" s="170">
        <f t="shared" si="8"/>
        <v>0</v>
      </c>
      <c r="J95" s="171"/>
      <c r="K95" s="171"/>
    </row>
    <row r="96" spans="1:11" hidden="1">
      <c r="A96" s="18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1:11" hidden="1">
      <c r="A97" s="67" t="s">
        <v>248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idden="1">
      <c r="A98" s="18"/>
      <c r="B98" s="113"/>
      <c r="C98" s="113"/>
      <c r="D98" s="113"/>
      <c r="E98" s="113"/>
      <c r="F98" s="113"/>
      <c r="G98" s="113"/>
      <c r="H98" s="113"/>
      <c r="I98" s="113"/>
      <c r="J98" s="113"/>
      <c r="K98" s="113"/>
    </row>
    <row r="99" spans="1:11" ht="48.75" hidden="1">
      <c r="A99" s="126" t="s">
        <v>218</v>
      </c>
      <c r="B99" s="733" t="s">
        <v>237</v>
      </c>
      <c r="C99" s="734"/>
      <c r="D99" s="120" t="s">
        <v>249</v>
      </c>
      <c r="E99" s="120" t="s">
        <v>250</v>
      </c>
      <c r="F99" s="120" t="s">
        <v>484</v>
      </c>
      <c r="G99" s="120" t="s">
        <v>303</v>
      </c>
      <c r="H99" s="120" t="s">
        <v>304</v>
      </c>
      <c r="I99" s="113"/>
      <c r="J99" s="113"/>
      <c r="K99" s="113"/>
    </row>
    <row r="100" spans="1:11" hidden="1">
      <c r="A100" s="122">
        <v>1</v>
      </c>
      <c r="B100" s="725">
        <v>2</v>
      </c>
      <c r="C100" s="726"/>
      <c r="D100" s="122">
        <v>3</v>
      </c>
      <c r="E100" s="122">
        <v>4</v>
      </c>
      <c r="F100" s="122">
        <v>5</v>
      </c>
      <c r="G100" s="122">
        <v>6</v>
      </c>
      <c r="H100" s="122">
        <v>7</v>
      </c>
      <c r="I100" s="113"/>
      <c r="J100" s="113"/>
      <c r="K100" s="113"/>
    </row>
    <row r="101" spans="1:11" hidden="1">
      <c r="A101" s="124">
        <v>1</v>
      </c>
      <c r="B101" s="725"/>
      <c r="C101" s="726"/>
      <c r="D101" s="125"/>
      <c r="E101" s="125"/>
      <c r="F101" s="125">
        <f>D101*E101</f>
        <v>0</v>
      </c>
      <c r="G101" s="125"/>
      <c r="H101" s="125"/>
      <c r="I101" s="113"/>
      <c r="J101" s="113"/>
      <c r="K101" s="113"/>
    </row>
    <row r="102" spans="1:11" hidden="1">
      <c r="A102" s="124"/>
      <c r="B102" s="725"/>
      <c r="C102" s="726"/>
      <c r="D102" s="125"/>
      <c r="E102" s="125"/>
      <c r="F102" s="125">
        <f t="shared" ref="F102:F106" si="9">D102*E102</f>
        <v>0</v>
      </c>
      <c r="G102" s="125"/>
      <c r="H102" s="125"/>
      <c r="I102" s="113"/>
      <c r="J102" s="113"/>
      <c r="K102" s="113"/>
    </row>
    <row r="103" spans="1:11" hidden="1">
      <c r="A103" s="124"/>
      <c r="B103" s="725"/>
      <c r="C103" s="726"/>
      <c r="D103" s="125"/>
      <c r="E103" s="125"/>
      <c r="F103" s="125">
        <f t="shared" si="9"/>
        <v>0</v>
      </c>
      <c r="G103" s="125"/>
      <c r="H103" s="125"/>
      <c r="I103" s="113"/>
      <c r="J103" s="113"/>
      <c r="K103" s="113"/>
    </row>
    <row r="104" spans="1:11" hidden="1">
      <c r="A104" s="124"/>
      <c r="B104" s="725"/>
      <c r="C104" s="726"/>
      <c r="D104" s="125"/>
      <c r="E104" s="125"/>
      <c r="F104" s="125">
        <f t="shared" si="9"/>
        <v>0</v>
      </c>
      <c r="G104" s="125"/>
      <c r="H104" s="125"/>
      <c r="I104" s="113"/>
      <c r="J104" s="113"/>
      <c r="K104" s="113"/>
    </row>
    <row r="105" spans="1:11" hidden="1">
      <c r="A105" s="124"/>
      <c r="B105" s="725"/>
      <c r="C105" s="726"/>
      <c r="D105" s="125"/>
      <c r="E105" s="125"/>
      <c r="F105" s="125">
        <f t="shared" si="9"/>
        <v>0</v>
      </c>
      <c r="G105" s="125"/>
      <c r="H105" s="125"/>
      <c r="I105" s="113"/>
      <c r="J105" s="113"/>
      <c r="K105" s="113"/>
    </row>
    <row r="106" spans="1:11" hidden="1">
      <c r="A106" s="124"/>
      <c r="B106" s="725"/>
      <c r="C106" s="726"/>
      <c r="D106" s="125"/>
      <c r="E106" s="125"/>
      <c r="F106" s="125">
        <f t="shared" si="9"/>
        <v>0</v>
      </c>
      <c r="G106" s="125"/>
      <c r="H106" s="125"/>
      <c r="I106" s="113"/>
      <c r="J106" s="113"/>
      <c r="K106" s="113"/>
    </row>
    <row r="107" spans="1:11" hidden="1">
      <c r="A107" s="166"/>
      <c r="B107" s="727" t="s">
        <v>216</v>
      </c>
      <c r="C107" s="728"/>
      <c r="D107" s="167"/>
      <c r="E107" s="167"/>
      <c r="F107" s="167">
        <f>SUM(F101:F106)</f>
        <v>0</v>
      </c>
      <c r="G107" s="167">
        <f t="shared" ref="G107:H107" si="10">SUM(G101:G106)</f>
        <v>0</v>
      </c>
      <c r="H107" s="167">
        <f t="shared" si="10"/>
        <v>0</v>
      </c>
      <c r="I107" s="171"/>
      <c r="J107" s="171"/>
      <c r="K107" s="171"/>
    </row>
    <row r="108" spans="1:11" hidden="1">
      <c r="A108" s="18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1:11" hidden="1">
      <c r="A109" s="67" t="s">
        <v>251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1:11" hidden="1">
      <c r="A110" s="18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1:11" ht="48.75" hidden="1">
      <c r="A111" s="126" t="s">
        <v>218</v>
      </c>
      <c r="B111" s="733" t="s">
        <v>0</v>
      </c>
      <c r="C111" s="734"/>
      <c r="D111" s="120" t="s">
        <v>252</v>
      </c>
      <c r="E111" s="120" t="s">
        <v>253</v>
      </c>
      <c r="F111" s="120" t="s">
        <v>254</v>
      </c>
      <c r="G111" s="120" t="s">
        <v>484</v>
      </c>
      <c r="H111" s="120" t="s">
        <v>303</v>
      </c>
      <c r="I111" s="120" t="s">
        <v>304</v>
      </c>
      <c r="J111" s="113"/>
      <c r="K111" s="113"/>
    </row>
    <row r="112" spans="1:11" hidden="1">
      <c r="A112" s="122">
        <v>1</v>
      </c>
      <c r="B112" s="725">
        <v>2</v>
      </c>
      <c r="C112" s="726"/>
      <c r="D112" s="122">
        <v>3</v>
      </c>
      <c r="E112" s="122">
        <v>4</v>
      </c>
      <c r="F112" s="122">
        <v>5</v>
      </c>
      <c r="G112" s="122">
        <v>6</v>
      </c>
      <c r="H112" s="122">
        <v>7</v>
      </c>
      <c r="I112" s="122">
        <v>8</v>
      </c>
      <c r="J112" s="113"/>
      <c r="K112" s="113"/>
    </row>
    <row r="113" spans="1:11" hidden="1">
      <c r="A113" s="124">
        <v>1</v>
      </c>
      <c r="B113" s="750"/>
      <c r="C113" s="751"/>
      <c r="D113" s="125"/>
      <c r="E113" s="125"/>
      <c r="F113" s="125"/>
      <c r="G113" s="343"/>
      <c r="H113" s="343"/>
      <c r="I113" s="343"/>
      <c r="J113" s="113"/>
      <c r="K113" s="113"/>
    </row>
    <row r="114" spans="1:11" hidden="1">
      <c r="A114" s="124"/>
      <c r="B114" s="748"/>
      <c r="C114" s="749"/>
      <c r="D114" s="125"/>
      <c r="E114" s="125"/>
      <c r="F114" s="125"/>
      <c r="G114" s="343"/>
      <c r="H114" s="343"/>
      <c r="I114" s="343"/>
      <c r="J114" s="113"/>
      <c r="K114" s="113"/>
    </row>
    <row r="115" spans="1:11" hidden="1">
      <c r="A115" s="124">
        <v>2</v>
      </c>
      <c r="B115" s="750"/>
      <c r="C115" s="751"/>
      <c r="D115" s="125"/>
      <c r="E115" s="346"/>
      <c r="F115" s="125"/>
      <c r="G115" s="343"/>
      <c r="H115" s="343"/>
      <c r="I115" s="343"/>
      <c r="J115" s="113"/>
      <c r="K115" s="113"/>
    </row>
    <row r="116" spans="1:11" hidden="1">
      <c r="A116" s="124"/>
      <c r="B116" s="748"/>
      <c r="C116" s="772"/>
      <c r="D116" s="773"/>
      <c r="E116" s="773"/>
      <c r="F116" s="774"/>
      <c r="G116" s="343"/>
      <c r="H116" s="343"/>
      <c r="I116" s="343"/>
      <c r="J116" s="113"/>
      <c r="K116" s="113"/>
    </row>
    <row r="117" spans="1:11" hidden="1">
      <c r="A117" s="124">
        <v>3</v>
      </c>
      <c r="B117" s="750"/>
      <c r="C117" s="751"/>
      <c r="D117" s="125"/>
      <c r="E117" s="125"/>
      <c r="F117" s="125"/>
      <c r="G117" s="343"/>
      <c r="H117" s="343"/>
      <c r="I117" s="343"/>
      <c r="J117" s="113"/>
      <c r="K117" s="113"/>
    </row>
    <row r="118" spans="1:11" hidden="1">
      <c r="A118" s="124"/>
      <c r="B118" s="363"/>
      <c r="C118" s="364"/>
      <c r="D118" s="125"/>
      <c r="E118" s="125"/>
      <c r="F118" s="125"/>
      <c r="G118" s="343"/>
      <c r="H118" s="343"/>
      <c r="I118" s="343"/>
      <c r="J118" s="113"/>
      <c r="K118" s="113"/>
    </row>
    <row r="119" spans="1:11" hidden="1">
      <c r="A119" s="124">
        <v>4</v>
      </c>
      <c r="B119" s="775"/>
      <c r="C119" s="751"/>
      <c r="D119" s="125"/>
      <c r="E119" s="125"/>
      <c r="F119" s="125"/>
      <c r="G119" s="343"/>
      <c r="H119" s="343"/>
      <c r="I119" s="343"/>
      <c r="J119" s="113"/>
      <c r="K119" s="113"/>
    </row>
    <row r="120" spans="1:11" hidden="1">
      <c r="A120" s="124"/>
      <c r="B120" s="365"/>
      <c r="C120" s="366"/>
      <c r="D120" s="125"/>
      <c r="E120" s="125"/>
      <c r="F120" s="125"/>
      <c r="G120" s="343"/>
      <c r="H120" s="343"/>
      <c r="I120" s="343"/>
      <c r="J120" s="113"/>
      <c r="K120" s="113"/>
    </row>
    <row r="121" spans="1:11" hidden="1">
      <c r="A121" s="166"/>
      <c r="B121" s="727"/>
      <c r="C121" s="728"/>
      <c r="D121" s="167"/>
      <c r="E121" s="167"/>
      <c r="F121" s="167"/>
      <c r="G121" s="367"/>
      <c r="H121" s="367"/>
      <c r="I121" s="367"/>
      <c r="J121" s="171"/>
      <c r="K121" s="171"/>
    </row>
    <row r="122" spans="1:11" hidden="1">
      <c r="A122" s="18"/>
      <c r="B122" s="113"/>
      <c r="C122" s="113"/>
      <c r="D122" s="113"/>
      <c r="E122" s="113"/>
      <c r="F122" s="113"/>
      <c r="G122" s="368"/>
      <c r="H122" s="368"/>
      <c r="I122" s="368"/>
      <c r="J122" s="113"/>
      <c r="K122" s="113"/>
    </row>
    <row r="123" spans="1:11" hidden="1">
      <c r="A123" s="67" t="s">
        <v>255</v>
      </c>
      <c r="B123" s="117"/>
      <c r="C123" s="117"/>
      <c r="D123" s="117"/>
      <c r="E123" s="117"/>
      <c r="F123" s="117"/>
      <c r="G123" s="362"/>
      <c r="H123" s="362"/>
      <c r="I123" s="362"/>
      <c r="J123" s="117"/>
      <c r="K123" s="117"/>
    </row>
    <row r="124" spans="1:11" hidden="1">
      <c r="A124" s="18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1:11" ht="60.75" hidden="1">
      <c r="A125" s="126" t="s">
        <v>218</v>
      </c>
      <c r="B125" s="733" t="s">
        <v>0</v>
      </c>
      <c r="C125" s="734"/>
      <c r="D125" s="120" t="s">
        <v>256</v>
      </c>
      <c r="E125" s="120" t="s">
        <v>257</v>
      </c>
      <c r="F125" s="120" t="s">
        <v>258</v>
      </c>
      <c r="G125" s="120" t="s">
        <v>258</v>
      </c>
      <c r="H125" s="120" t="s">
        <v>258</v>
      </c>
      <c r="I125" s="113"/>
      <c r="J125" s="113"/>
      <c r="K125" s="113"/>
    </row>
    <row r="126" spans="1:11" hidden="1">
      <c r="A126" s="122">
        <v>1</v>
      </c>
      <c r="B126" s="725">
        <v>2</v>
      </c>
      <c r="C126" s="726"/>
      <c r="D126" s="122">
        <v>3</v>
      </c>
      <c r="E126" s="122">
        <v>4</v>
      </c>
      <c r="F126" s="122">
        <v>5</v>
      </c>
      <c r="G126" s="122">
        <v>6</v>
      </c>
      <c r="H126" s="122">
        <v>7</v>
      </c>
      <c r="I126" s="113"/>
      <c r="J126" s="113"/>
      <c r="K126" s="113"/>
    </row>
    <row r="127" spans="1:11" hidden="1">
      <c r="A127" s="124"/>
      <c r="B127" s="725"/>
      <c r="C127" s="726"/>
      <c r="D127" s="125"/>
      <c r="E127" s="125"/>
      <c r="F127" s="125"/>
      <c r="G127" s="125"/>
      <c r="H127" s="125"/>
      <c r="I127" s="113"/>
      <c r="J127" s="113"/>
      <c r="K127" s="113"/>
    </row>
    <row r="128" spans="1:11" hidden="1">
      <c r="A128" s="124"/>
      <c r="B128" s="725"/>
      <c r="C128" s="726"/>
      <c r="D128" s="125"/>
      <c r="E128" s="125"/>
      <c r="F128" s="125"/>
      <c r="G128" s="125"/>
      <c r="H128" s="125"/>
      <c r="I128" s="113"/>
      <c r="J128" s="113"/>
      <c r="K128" s="113"/>
    </row>
    <row r="129" spans="1:11" hidden="1">
      <c r="A129" s="124"/>
      <c r="B129" s="725"/>
      <c r="C129" s="726"/>
      <c r="D129" s="125"/>
      <c r="E129" s="125"/>
      <c r="F129" s="125"/>
      <c r="G129" s="125"/>
      <c r="H129" s="125"/>
      <c r="I129" s="113"/>
      <c r="J129" s="113"/>
      <c r="K129" s="113"/>
    </row>
    <row r="130" spans="1:11" hidden="1">
      <c r="A130" s="124"/>
      <c r="B130" s="725"/>
      <c r="C130" s="726"/>
      <c r="D130" s="125"/>
      <c r="E130" s="125"/>
      <c r="F130" s="125"/>
      <c r="G130" s="125"/>
      <c r="H130" s="125"/>
      <c r="I130" s="113"/>
      <c r="J130" s="113"/>
      <c r="K130" s="113"/>
    </row>
    <row r="131" spans="1:11" hidden="1">
      <c r="A131" s="124"/>
      <c r="B131" s="725"/>
      <c r="C131" s="726"/>
      <c r="D131" s="125"/>
      <c r="E131" s="125"/>
      <c r="F131" s="125"/>
      <c r="G131" s="125"/>
      <c r="H131" s="125"/>
      <c r="I131" s="113"/>
      <c r="J131" s="113"/>
      <c r="K131" s="113"/>
    </row>
    <row r="132" spans="1:11" hidden="1">
      <c r="A132" s="124"/>
      <c r="B132" s="725"/>
      <c r="C132" s="726"/>
      <c r="D132" s="125"/>
      <c r="E132" s="125"/>
      <c r="F132" s="125"/>
      <c r="G132" s="125"/>
      <c r="H132" s="125"/>
      <c r="I132" s="113"/>
      <c r="J132" s="113"/>
      <c r="K132" s="113"/>
    </row>
    <row r="133" spans="1:11" hidden="1">
      <c r="A133" s="166"/>
      <c r="B133" s="727" t="s">
        <v>216</v>
      </c>
      <c r="C133" s="728"/>
      <c r="D133" s="167"/>
      <c r="E133" s="167"/>
      <c r="F133" s="167">
        <f>SUM(F127:F132)</f>
        <v>0</v>
      </c>
      <c r="G133" s="167">
        <f t="shared" ref="G133:H133" si="11">SUM(G127:G132)</f>
        <v>0</v>
      </c>
      <c r="H133" s="167">
        <f t="shared" si="11"/>
        <v>0</v>
      </c>
      <c r="I133" s="171"/>
      <c r="J133" s="171"/>
      <c r="K133" s="171"/>
    </row>
    <row r="134" spans="1:11" hidden="1">
      <c r="A134" s="18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1:11" hidden="1">
      <c r="A135" s="67" t="s">
        <v>259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1" hidden="1">
      <c r="A136" s="18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1:11" ht="36.75" hidden="1">
      <c r="A137" s="126" t="s">
        <v>218</v>
      </c>
      <c r="B137" s="733" t="s">
        <v>0</v>
      </c>
      <c r="C137" s="734"/>
      <c r="D137" s="120" t="s">
        <v>260</v>
      </c>
      <c r="E137" s="120" t="s">
        <v>261</v>
      </c>
      <c r="F137" s="120" t="s">
        <v>484</v>
      </c>
      <c r="G137" s="120" t="s">
        <v>303</v>
      </c>
      <c r="H137" s="120" t="s">
        <v>304</v>
      </c>
      <c r="I137" s="113"/>
      <c r="J137" s="113"/>
      <c r="K137" s="113"/>
    </row>
    <row r="138" spans="1:11" hidden="1">
      <c r="A138" s="122">
        <v>1</v>
      </c>
      <c r="B138" s="725">
        <v>2</v>
      </c>
      <c r="C138" s="726"/>
      <c r="D138" s="122">
        <v>3</v>
      </c>
      <c r="E138" s="122">
        <v>4</v>
      </c>
      <c r="F138" s="122">
        <v>5</v>
      </c>
      <c r="G138" s="122">
        <v>6</v>
      </c>
      <c r="H138" s="122">
        <v>7</v>
      </c>
      <c r="I138" s="113"/>
      <c r="J138" s="113"/>
      <c r="K138" s="113"/>
    </row>
    <row r="139" spans="1:11" hidden="1">
      <c r="A139" s="369">
        <v>1</v>
      </c>
      <c r="B139" s="744"/>
      <c r="C139" s="745"/>
      <c r="D139" s="125"/>
      <c r="E139" s="125"/>
      <c r="F139" s="125"/>
      <c r="G139" s="125"/>
      <c r="H139" s="125"/>
      <c r="I139" s="113"/>
      <c r="J139" s="113"/>
      <c r="K139" s="113"/>
    </row>
    <row r="140" spans="1:11" hidden="1">
      <c r="A140" s="124"/>
      <c r="B140" s="739"/>
      <c r="C140" s="740"/>
      <c r="D140" s="125"/>
      <c r="E140" s="125"/>
      <c r="F140" s="125"/>
      <c r="G140" s="125"/>
      <c r="H140" s="125"/>
      <c r="I140" s="113"/>
      <c r="J140" s="113"/>
      <c r="K140" s="113"/>
    </row>
    <row r="141" spans="1:11" hidden="1">
      <c r="A141" s="369">
        <v>2</v>
      </c>
      <c r="B141" s="744"/>
      <c r="C141" s="741"/>
      <c r="D141" s="125"/>
      <c r="E141" s="125"/>
      <c r="F141" s="125"/>
      <c r="G141" s="125"/>
      <c r="H141" s="125"/>
      <c r="I141" s="113"/>
      <c r="J141" s="113"/>
      <c r="K141" s="113"/>
    </row>
    <row r="142" spans="1:11" hidden="1">
      <c r="A142" s="124"/>
      <c r="B142" s="739"/>
      <c r="C142" s="740"/>
      <c r="D142" s="125"/>
      <c r="E142" s="125"/>
      <c r="F142" s="125"/>
      <c r="G142" s="125"/>
      <c r="H142" s="125"/>
      <c r="I142" s="113"/>
      <c r="J142" s="113"/>
      <c r="K142" s="113"/>
    </row>
    <row r="143" spans="1:11" hidden="1">
      <c r="A143" s="369">
        <v>3</v>
      </c>
      <c r="B143" s="744"/>
      <c r="C143" s="746"/>
      <c r="D143" s="125"/>
      <c r="E143" s="125"/>
      <c r="F143" s="125"/>
      <c r="G143" s="125"/>
      <c r="H143" s="125"/>
      <c r="I143" s="113"/>
      <c r="J143" s="113"/>
      <c r="K143" s="113"/>
    </row>
    <row r="144" spans="1:11" hidden="1">
      <c r="A144" s="124"/>
      <c r="B144" s="350"/>
      <c r="C144" s="351"/>
      <c r="D144" s="125"/>
      <c r="E144" s="125"/>
      <c r="F144" s="125"/>
      <c r="G144" s="125"/>
      <c r="H144" s="125"/>
      <c r="I144" s="113"/>
      <c r="J144" s="113"/>
      <c r="K144" s="113"/>
    </row>
    <row r="145" spans="1:11" hidden="1">
      <c r="A145" s="124"/>
      <c r="B145" s="350"/>
      <c r="C145" s="351"/>
      <c r="D145" s="125"/>
      <c r="E145" s="125"/>
      <c r="F145" s="125"/>
      <c r="G145" s="125"/>
      <c r="H145" s="125"/>
      <c r="I145" s="113"/>
      <c r="J145" s="113"/>
      <c r="K145" s="113"/>
    </row>
    <row r="146" spans="1:11" hidden="1">
      <c r="A146" s="369">
        <v>4</v>
      </c>
      <c r="B146" s="744"/>
      <c r="C146" s="746"/>
      <c r="D146" s="125"/>
      <c r="E146" s="125"/>
      <c r="F146" s="125"/>
      <c r="G146" s="125"/>
      <c r="H146" s="125"/>
      <c r="I146" s="113"/>
      <c r="J146" s="113"/>
      <c r="K146" s="113"/>
    </row>
    <row r="147" spans="1:11" hidden="1">
      <c r="A147" s="124"/>
      <c r="B147" s="350"/>
      <c r="C147" s="351"/>
      <c r="D147" s="125"/>
      <c r="E147" s="125"/>
      <c r="F147" s="125"/>
      <c r="G147" s="125"/>
      <c r="H147" s="125"/>
      <c r="I147" s="113"/>
      <c r="J147" s="113"/>
      <c r="K147" s="113"/>
    </row>
    <row r="148" spans="1:11" hidden="1">
      <c r="A148" s="369">
        <v>5</v>
      </c>
      <c r="B148" s="744"/>
      <c r="C148" s="746"/>
      <c r="D148" s="125"/>
      <c r="E148" s="125"/>
      <c r="F148" s="125"/>
      <c r="G148" s="125"/>
      <c r="H148" s="125"/>
      <c r="I148" s="113"/>
      <c r="J148" s="113"/>
      <c r="K148" s="113"/>
    </row>
    <row r="149" spans="1:11" hidden="1">
      <c r="A149" s="124"/>
      <c r="B149" s="350"/>
      <c r="C149" s="351"/>
      <c r="D149" s="125"/>
      <c r="E149" s="125"/>
      <c r="F149" s="125"/>
      <c r="G149" s="125"/>
      <c r="H149" s="125"/>
      <c r="I149" s="113"/>
      <c r="J149" s="113"/>
      <c r="K149" s="113"/>
    </row>
    <row r="150" spans="1:11" hidden="1">
      <c r="A150" s="369">
        <v>6</v>
      </c>
      <c r="B150" s="744"/>
      <c r="C150" s="746"/>
      <c r="D150" s="125"/>
      <c r="E150" s="125"/>
      <c r="F150" s="125"/>
      <c r="G150" s="125"/>
      <c r="H150" s="125"/>
      <c r="I150" s="113"/>
      <c r="J150" s="113"/>
      <c r="K150" s="113"/>
    </row>
    <row r="151" spans="1:11" hidden="1">
      <c r="A151" s="124"/>
      <c r="B151" s="350"/>
      <c r="C151" s="351"/>
      <c r="D151" s="125"/>
      <c r="E151" s="125"/>
      <c r="F151" s="125"/>
      <c r="G151" s="125"/>
      <c r="H151" s="125"/>
      <c r="I151" s="113"/>
      <c r="J151" s="113"/>
      <c r="K151" s="113"/>
    </row>
    <row r="152" spans="1:11" hidden="1">
      <c r="A152" s="124"/>
      <c r="B152" s="350"/>
      <c r="C152" s="351"/>
      <c r="D152" s="125"/>
      <c r="E152" s="125"/>
      <c r="F152" s="125"/>
      <c r="G152" s="125"/>
      <c r="H152" s="125"/>
      <c r="I152" s="113"/>
      <c r="J152" s="113"/>
      <c r="K152" s="113"/>
    </row>
    <row r="153" spans="1:11" hidden="1">
      <c r="A153" s="369">
        <v>7</v>
      </c>
      <c r="B153" s="744"/>
      <c r="C153" s="745"/>
      <c r="D153" s="125"/>
      <c r="E153" s="125"/>
      <c r="F153" s="125"/>
      <c r="G153" s="125"/>
      <c r="H153" s="125"/>
      <c r="I153" s="113"/>
      <c r="J153" s="113"/>
      <c r="K153" s="113"/>
    </row>
    <row r="154" spans="1:11" hidden="1">
      <c r="A154" s="124"/>
      <c r="B154" s="739"/>
      <c r="C154" s="740"/>
      <c r="D154" s="125"/>
      <c r="E154" s="125"/>
      <c r="F154" s="125"/>
      <c r="G154" s="125"/>
      <c r="H154" s="125"/>
      <c r="I154" s="113"/>
      <c r="J154" s="113"/>
      <c r="K154" s="113"/>
    </row>
    <row r="155" spans="1:11" hidden="1">
      <c r="A155" s="369">
        <v>8</v>
      </c>
      <c r="B155" s="744"/>
      <c r="C155" s="745"/>
      <c r="D155" s="125"/>
      <c r="E155" s="125"/>
      <c r="F155" s="125"/>
      <c r="G155" s="125"/>
      <c r="H155" s="125"/>
      <c r="I155" s="113"/>
      <c r="J155" s="113"/>
      <c r="K155" s="113"/>
    </row>
    <row r="156" spans="1:11" hidden="1">
      <c r="A156" s="124"/>
      <c r="B156" s="739"/>
      <c r="C156" s="740"/>
      <c r="D156" s="125"/>
      <c r="E156" s="125"/>
      <c r="F156" s="125"/>
      <c r="G156" s="125"/>
      <c r="H156" s="125"/>
      <c r="I156" s="113"/>
      <c r="J156" s="113"/>
      <c r="K156" s="113"/>
    </row>
    <row r="157" spans="1:11" hidden="1">
      <c r="A157" s="369">
        <v>9</v>
      </c>
      <c r="B157" s="744"/>
      <c r="C157" s="745"/>
      <c r="D157" s="125"/>
      <c r="E157" s="125"/>
      <c r="F157" s="125"/>
      <c r="G157" s="125"/>
      <c r="H157" s="125"/>
      <c r="I157" s="113"/>
      <c r="J157" s="113"/>
      <c r="K157" s="113"/>
    </row>
    <row r="158" spans="1:11" hidden="1">
      <c r="A158" s="124"/>
      <c r="B158" s="756"/>
      <c r="C158" s="757"/>
      <c r="D158" s="125"/>
      <c r="E158" s="125"/>
      <c r="F158" s="125"/>
      <c r="G158" s="125"/>
      <c r="H158" s="125"/>
      <c r="I158" s="113"/>
      <c r="J158" s="113"/>
      <c r="K158" s="113"/>
    </row>
    <row r="159" spans="1:11" hidden="1">
      <c r="A159" s="166"/>
      <c r="B159" s="727"/>
      <c r="C159" s="728"/>
      <c r="D159" s="167"/>
      <c r="E159" s="167"/>
      <c r="F159" s="167"/>
      <c r="G159" s="167"/>
      <c r="H159" s="167"/>
      <c r="I159" s="171"/>
      <c r="J159" s="171"/>
      <c r="K159" s="171"/>
    </row>
    <row r="160" spans="1:11" hidden="1">
      <c r="A160" s="18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hidden="1">
      <c r="A161" s="67" t="s">
        <v>262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1:11" hidden="1">
      <c r="A162" s="18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1:11" ht="36.75" hidden="1">
      <c r="A163" s="126" t="s">
        <v>218</v>
      </c>
      <c r="B163" s="733" t="s">
        <v>237</v>
      </c>
      <c r="C163" s="734"/>
      <c r="D163" s="120" t="s">
        <v>260</v>
      </c>
      <c r="E163" s="120" t="s">
        <v>261</v>
      </c>
      <c r="F163" s="120" t="s">
        <v>484</v>
      </c>
      <c r="G163" s="120" t="s">
        <v>303</v>
      </c>
      <c r="H163" s="120" t="s">
        <v>304</v>
      </c>
      <c r="I163" s="113"/>
      <c r="J163" s="113"/>
      <c r="K163" s="113"/>
    </row>
    <row r="164" spans="1:11" hidden="1">
      <c r="A164" s="122">
        <v>1</v>
      </c>
      <c r="B164" s="725">
        <v>2</v>
      </c>
      <c r="C164" s="726"/>
      <c r="D164" s="122">
        <v>3</v>
      </c>
      <c r="E164" s="122">
        <v>4</v>
      </c>
      <c r="F164" s="122">
        <v>5</v>
      </c>
      <c r="G164" s="122">
        <v>6</v>
      </c>
      <c r="H164" s="122">
        <v>7</v>
      </c>
      <c r="I164" s="113"/>
      <c r="J164" s="113"/>
      <c r="K164" s="113"/>
    </row>
    <row r="165" spans="1:11" hidden="1">
      <c r="A165" s="370"/>
      <c r="B165" s="735"/>
      <c r="C165" s="736"/>
      <c r="D165" s="125"/>
      <c r="E165" s="125"/>
      <c r="F165" s="125"/>
      <c r="G165" s="125"/>
      <c r="H165" s="125"/>
      <c r="I165" s="113"/>
      <c r="J165" s="113"/>
      <c r="K165" s="113"/>
    </row>
    <row r="166" spans="1:11" hidden="1">
      <c r="A166" s="370"/>
      <c r="B166" s="735"/>
      <c r="C166" s="736"/>
      <c r="D166" s="125"/>
      <c r="E166" s="125"/>
      <c r="F166" s="125"/>
      <c r="G166" s="125"/>
      <c r="H166" s="125"/>
      <c r="I166" s="113"/>
      <c r="J166" s="113"/>
      <c r="K166" s="113"/>
    </row>
    <row r="167" spans="1:11" hidden="1">
      <c r="A167" s="371"/>
      <c r="B167" s="739"/>
      <c r="C167" s="740"/>
      <c r="D167" s="125"/>
      <c r="E167" s="125"/>
      <c r="F167" s="125"/>
      <c r="G167" s="125"/>
      <c r="H167" s="125"/>
      <c r="I167" s="113"/>
      <c r="J167" s="113"/>
      <c r="K167" s="113"/>
    </row>
    <row r="168" spans="1:11" hidden="1">
      <c r="A168" s="370"/>
      <c r="B168" s="735"/>
      <c r="C168" s="741"/>
      <c r="D168" s="125"/>
      <c r="E168" s="125"/>
      <c r="F168" s="125"/>
      <c r="G168" s="125"/>
      <c r="H168" s="125"/>
      <c r="I168" s="113"/>
      <c r="J168" s="113"/>
      <c r="K168" s="113"/>
    </row>
    <row r="169" spans="1:11" hidden="1">
      <c r="A169" s="371"/>
      <c r="B169" s="350"/>
      <c r="C169" s="351"/>
      <c r="D169" s="125"/>
      <c r="E169" s="125"/>
      <c r="F169" s="125"/>
      <c r="G169" s="125"/>
      <c r="H169" s="125"/>
      <c r="I169" s="113"/>
      <c r="J169" s="113"/>
      <c r="K169" s="113"/>
    </row>
    <row r="170" spans="1:11" hidden="1">
      <c r="A170" s="371"/>
      <c r="B170" s="350"/>
      <c r="C170" s="351"/>
      <c r="D170" s="125"/>
      <c r="E170" s="125"/>
      <c r="F170" s="125"/>
      <c r="G170" s="125"/>
      <c r="H170" s="125"/>
      <c r="I170" s="113"/>
      <c r="J170" s="113"/>
      <c r="K170" s="113"/>
    </row>
    <row r="171" spans="1:11" hidden="1">
      <c r="A171" s="371"/>
      <c r="B171" s="350"/>
      <c r="C171" s="351"/>
      <c r="D171" s="125"/>
      <c r="E171" s="125"/>
      <c r="F171" s="125"/>
      <c r="G171" s="125"/>
      <c r="H171" s="125"/>
      <c r="I171" s="113"/>
      <c r="J171" s="113"/>
      <c r="K171" s="113"/>
    </row>
    <row r="172" spans="1:11" hidden="1">
      <c r="A172" s="371"/>
      <c r="B172" s="350"/>
      <c r="C172" s="351"/>
      <c r="D172" s="125"/>
      <c r="E172" s="125"/>
      <c r="F172" s="125"/>
      <c r="G172" s="125"/>
      <c r="H172" s="125"/>
      <c r="I172" s="113"/>
      <c r="J172" s="113"/>
      <c r="K172" s="113"/>
    </row>
    <row r="173" spans="1:11" hidden="1">
      <c r="A173" s="370"/>
      <c r="B173" s="744"/>
      <c r="C173" s="746"/>
      <c r="D173" s="125"/>
      <c r="E173" s="125"/>
      <c r="F173" s="125"/>
      <c r="G173" s="125"/>
      <c r="H173" s="125"/>
      <c r="I173" s="113"/>
      <c r="J173" s="113"/>
      <c r="K173" s="113"/>
    </row>
    <row r="174" spans="1:11" hidden="1">
      <c r="A174" s="370"/>
      <c r="B174" s="372"/>
      <c r="C174" s="351"/>
      <c r="D174" s="125"/>
      <c r="E174" s="125"/>
      <c r="F174" s="125"/>
      <c r="G174" s="125"/>
      <c r="H174" s="125"/>
      <c r="I174" s="113"/>
      <c r="J174" s="113"/>
      <c r="K174" s="113"/>
    </row>
    <row r="175" spans="1:11" hidden="1">
      <c r="A175" s="371"/>
      <c r="B175" s="350"/>
      <c r="C175" s="351"/>
      <c r="D175" s="125"/>
      <c r="E175" s="125"/>
      <c r="F175" s="125"/>
      <c r="G175" s="125"/>
      <c r="H175" s="125"/>
      <c r="I175" s="113"/>
      <c r="J175" s="113"/>
      <c r="K175" s="113"/>
    </row>
    <row r="176" spans="1:11" hidden="1">
      <c r="A176" s="370"/>
      <c r="B176" s="372"/>
      <c r="C176" s="351"/>
      <c r="D176" s="125"/>
      <c r="E176" s="125"/>
      <c r="F176" s="125"/>
      <c r="G176" s="125"/>
      <c r="H176" s="125"/>
      <c r="I176" s="113"/>
      <c r="J176" s="113"/>
      <c r="K176" s="113"/>
    </row>
    <row r="177" spans="1:11" hidden="1">
      <c r="A177" s="370"/>
      <c r="B177" s="372"/>
      <c r="C177" s="351"/>
      <c r="D177" s="125"/>
      <c r="E177" s="125"/>
      <c r="F177" s="125"/>
      <c r="G177" s="125"/>
      <c r="H177" s="125"/>
      <c r="I177" s="113"/>
      <c r="J177" s="113"/>
      <c r="K177" s="113"/>
    </row>
    <row r="178" spans="1:11" hidden="1">
      <c r="A178" s="371"/>
      <c r="B178" s="350"/>
      <c r="C178" s="351"/>
      <c r="D178" s="125"/>
      <c r="E178" s="125"/>
      <c r="F178" s="125"/>
      <c r="G178" s="125"/>
      <c r="H178" s="125"/>
      <c r="I178" s="113"/>
      <c r="J178" s="113"/>
      <c r="K178" s="113"/>
    </row>
    <row r="179" spans="1:11" hidden="1">
      <c r="A179" s="124"/>
      <c r="B179" s="319"/>
      <c r="C179" s="318"/>
      <c r="D179" s="125"/>
      <c r="E179" s="125"/>
      <c r="F179" s="125">
        <f t="shared" ref="F179:F184" si="12">E179*D179</f>
        <v>0</v>
      </c>
      <c r="G179" s="125">
        <f t="shared" ref="G179:H184" si="13">F179</f>
        <v>0</v>
      </c>
      <c r="H179" s="125">
        <f t="shared" si="13"/>
        <v>0</v>
      </c>
      <c r="I179" s="113"/>
      <c r="J179" s="113"/>
      <c r="K179" s="113"/>
    </row>
    <row r="180" spans="1:11" hidden="1">
      <c r="A180" s="124"/>
      <c r="B180" s="317"/>
      <c r="C180" s="318"/>
      <c r="D180" s="125"/>
      <c r="E180" s="125"/>
      <c r="F180" s="125">
        <f t="shared" si="12"/>
        <v>0</v>
      </c>
      <c r="G180" s="125">
        <f t="shared" si="13"/>
        <v>0</v>
      </c>
      <c r="H180" s="125">
        <f t="shared" si="13"/>
        <v>0</v>
      </c>
      <c r="I180" s="113"/>
      <c r="J180" s="113"/>
      <c r="K180" s="113"/>
    </row>
    <row r="181" spans="1:11" hidden="1">
      <c r="A181" s="124"/>
      <c r="B181" s="317"/>
      <c r="C181" s="318"/>
      <c r="D181" s="125"/>
      <c r="E181" s="125"/>
      <c r="F181" s="125">
        <f t="shared" si="12"/>
        <v>0</v>
      </c>
      <c r="G181" s="125">
        <f t="shared" si="13"/>
        <v>0</v>
      </c>
      <c r="H181" s="125">
        <f t="shared" si="13"/>
        <v>0</v>
      </c>
      <c r="I181" s="113"/>
      <c r="J181" s="113"/>
      <c r="K181" s="113"/>
    </row>
    <row r="182" spans="1:11" hidden="1">
      <c r="A182" s="124"/>
      <c r="B182" s="725"/>
      <c r="C182" s="726"/>
      <c r="D182" s="125"/>
      <c r="E182" s="125"/>
      <c r="F182" s="125">
        <f t="shared" si="12"/>
        <v>0</v>
      </c>
      <c r="G182" s="125">
        <f t="shared" si="13"/>
        <v>0</v>
      </c>
      <c r="H182" s="125">
        <f t="shared" si="13"/>
        <v>0</v>
      </c>
      <c r="I182" s="113"/>
      <c r="J182" s="113"/>
      <c r="K182" s="113"/>
    </row>
    <row r="183" spans="1:11" hidden="1">
      <c r="A183" s="124"/>
      <c r="B183" s="725"/>
      <c r="C183" s="726"/>
      <c r="D183" s="125"/>
      <c r="E183" s="125"/>
      <c r="F183" s="125">
        <f t="shared" si="12"/>
        <v>0</v>
      </c>
      <c r="G183" s="125">
        <f t="shared" si="13"/>
        <v>0</v>
      </c>
      <c r="H183" s="125">
        <f t="shared" si="13"/>
        <v>0</v>
      </c>
      <c r="I183" s="113"/>
      <c r="J183" s="113"/>
      <c r="K183" s="113"/>
    </row>
    <row r="184" spans="1:11" hidden="1">
      <c r="A184" s="124"/>
      <c r="B184" s="725"/>
      <c r="C184" s="726"/>
      <c r="D184" s="125"/>
      <c r="E184" s="125"/>
      <c r="F184" s="125">
        <f t="shared" si="12"/>
        <v>0</v>
      </c>
      <c r="G184" s="125">
        <f t="shared" si="13"/>
        <v>0</v>
      </c>
      <c r="H184" s="125">
        <f t="shared" si="13"/>
        <v>0</v>
      </c>
      <c r="I184" s="113"/>
      <c r="J184" s="113"/>
      <c r="K184" s="113"/>
    </row>
    <row r="185" spans="1:11" hidden="1">
      <c r="A185" s="166"/>
      <c r="B185" s="727" t="s">
        <v>216</v>
      </c>
      <c r="C185" s="728"/>
      <c r="D185" s="167"/>
      <c r="E185" s="167"/>
      <c r="F185" s="167">
        <f>SUM(F165:F184)</f>
        <v>0</v>
      </c>
      <c r="G185" s="167">
        <f>SUM(G165:G184)</f>
        <v>0</v>
      </c>
      <c r="H185" s="167">
        <f>SUM(H165:H184)</f>
        <v>0</v>
      </c>
      <c r="I185" s="171"/>
      <c r="J185" s="171"/>
      <c r="K185" s="171"/>
    </row>
    <row r="186" spans="1:11" hidden="1">
      <c r="A186" s="18"/>
      <c r="B186" s="113"/>
      <c r="C186" s="113"/>
      <c r="D186" s="113"/>
      <c r="E186" s="373"/>
      <c r="F186" s="374"/>
      <c r="G186" s="374"/>
      <c r="H186" s="375"/>
      <c r="I186" s="113"/>
      <c r="J186" s="113"/>
      <c r="K186" s="113"/>
    </row>
    <row r="187" spans="1:11" hidden="1">
      <c r="A187" s="67" t="s">
        <v>263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1:11" hidden="1">
      <c r="A188" s="18"/>
      <c r="B188" s="113"/>
      <c r="C188" s="113"/>
      <c r="D188" s="113"/>
      <c r="E188" s="113"/>
      <c r="F188" s="113"/>
      <c r="G188" s="356"/>
      <c r="H188" s="113"/>
      <c r="I188" s="113"/>
      <c r="J188" s="113"/>
      <c r="K188" s="113"/>
    </row>
    <row r="189" spans="1:11" ht="24.75" hidden="1">
      <c r="A189" s="126" t="s">
        <v>218</v>
      </c>
      <c r="B189" s="733" t="s">
        <v>237</v>
      </c>
      <c r="C189" s="734"/>
      <c r="D189" s="120" t="s">
        <v>256</v>
      </c>
      <c r="E189" s="120" t="s">
        <v>261</v>
      </c>
      <c r="F189" s="120" t="s">
        <v>484</v>
      </c>
      <c r="G189" s="120"/>
      <c r="H189" s="120" t="s">
        <v>304</v>
      </c>
      <c r="I189" s="113"/>
      <c r="J189" s="113"/>
      <c r="K189" s="113"/>
    </row>
    <row r="190" spans="1:11" hidden="1">
      <c r="A190" s="122">
        <v>1</v>
      </c>
      <c r="B190" s="725">
        <v>2</v>
      </c>
      <c r="C190" s="726"/>
      <c r="D190" s="122">
        <v>3</v>
      </c>
      <c r="E190" s="122">
        <v>4</v>
      </c>
      <c r="F190" s="122">
        <v>5</v>
      </c>
      <c r="G190" s="122">
        <v>6</v>
      </c>
      <c r="H190" s="122">
        <v>7</v>
      </c>
      <c r="I190" s="113"/>
      <c r="J190" s="113"/>
      <c r="K190" s="113"/>
    </row>
    <row r="191" spans="1:11" hidden="1">
      <c r="A191" s="376"/>
      <c r="B191" s="735"/>
      <c r="C191" s="736"/>
      <c r="D191" s="125"/>
      <c r="E191" s="125"/>
      <c r="F191" s="125"/>
      <c r="G191" s="125"/>
      <c r="H191" s="125"/>
      <c r="I191" s="113"/>
      <c r="J191" s="113"/>
      <c r="K191" s="113"/>
    </row>
    <row r="192" spans="1:11" hidden="1">
      <c r="A192" s="376"/>
      <c r="B192" s="737"/>
      <c r="C192" s="738"/>
      <c r="D192" s="125"/>
      <c r="E192" s="125"/>
      <c r="F192" s="125"/>
      <c r="G192" s="125"/>
      <c r="H192" s="125"/>
      <c r="I192" s="113"/>
      <c r="J192" s="113"/>
      <c r="K192" s="113"/>
    </row>
    <row r="193" spans="1:11" hidden="1">
      <c r="A193" s="376"/>
      <c r="B193" s="354"/>
      <c r="C193" s="355"/>
      <c r="D193" s="125"/>
      <c r="E193" s="125"/>
      <c r="F193" s="125"/>
      <c r="G193" s="125"/>
      <c r="H193" s="125"/>
      <c r="I193" s="113"/>
      <c r="J193" s="113"/>
      <c r="K193" s="113"/>
    </row>
    <row r="194" spans="1:11" hidden="1">
      <c r="A194" s="377"/>
      <c r="B194" s="317"/>
      <c r="C194" s="318"/>
      <c r="D194" s="125"/>
      <c r="E194" s="125"/>
      <c r="F194" s="125"/>
      <c r="G194" s="125"/>
      <c r="H194" s="125"/>
      <c r="I194" s="113"/>
      <c r="J194" s="113"/>
      <c r="K194" s="113"/>
    </row>
    <row r="195" spans="1:11" hidden="1">
      <c r="A195" s="377"/>
      <c r="B195" s="317"/>
      <c r="C195" s="318"/>
      <c r="D195" s="125"/>
      <c r="E195" s="125"/>
      <c r="F195" s="125"/>
      <c r="G195" s="125"/>
      <c r="H195" s="125"/>
      <c r="I195" s="113"/>
      <c r="J195" s="113"/>
      <c r="K195" s="113"/>
    </row>
    <row r="196" spans="1:11" hidden="1">
      <c r="A196" s="130"/>
      <c r="B196" s="317"/>
      <c r="C196" s="318"/>
      <c r="D196" s="125"/>
      <c r="E196" s="125"/>
      <c r="F196" s="125"/>
      <c r="G196" s="125"/>
      <c r="H196" s="125"/>
      <c r="I196" s="113"/>
      <c r="J196" s="113"/>
      <c r="K196" s="113"/>
    </row>
    <row r="197" spans="1:11" hidden="1">
      <c r="A197" s="130"/>
      <c r="B197" s="317"/>
      <c r="C197" s="318"/>
      <c r="D197" s="125"/>
      <c r="E197" s="125"/>
      <c r="F197" s="125"/>
      <c r="G197" s="125"/>
      <c r="H197" s="125"/>
      <c r="I197" s="113"/>
      <c r="J197" s="113"/>
      <c r="K197" s="113"/>
    </row>
    <row r="198" spans="1:11" hidden="1">
      <c r="A198" s="130"/>
      <c r="B198" s="317"/>
      <c r="C198" s="318"/>
      <c r="D198" s="125"/>
      <c r="E198" s="125"/>
      <c r="F198" s="125"/>
      <c r="G198" s="125"/>
      <c r="H198" s="125"/>
      <c r="I198" s="113"/>
      <c r="J198" s="113"/>
      <c r="K198" s="113"/>
    </row>
    <row r="199" spans="1:11" hidden="1">
      <c r="A199" s="130"/>
      <c r="B199" s="317"/>
      <c r="C199" s="318"/>
      <c r="D199" s="125"/>
      <c r="E199" s="125"/>
      <c r="F199" s="125"/>
      <c r="G199" s="125"/>
      <c r="H199" s="125"/>
      <c r="I199" s="113"/>
      <c r="J199" s="113"/>
      <c r="K199" s="113"/>
    </row>
    <row r="200" spans="1:11" hidden="1">
      <c r="A200" s="130"/>
      <c r="B200" s="317"/>
      <c r="C200" s="318"/>
      <c r="D200" s="125"/>
      <c r="E200" s="125"/>
      <c r="F200" s="125"/>
      <c r="G200" s="125"/>
      <c r="H200" s="125"/>
      <c r="I200" s="113"/>
      <c r="J200" s="113"/>
      <c r="K200" s="113"/>
    </row>
    <row r="201" spans="1:11" hidden="1">
      <c r="A201" s="130"/>
      <c r="B201" s="317"/>
      <c r="C201" s="318"/>
      <c r="D201" s="125"/>
      <c r="E201" s="125"/>
      <c r="F201" s="125"/>
      <c r="G201" s="125"/>
      <c r="H201" s="125"/>
      <c r="I201" s="113"/>
      <c r="J201" s="113"/>
      <c r="K201" s="113"/>
    </row>
    <row r="202" spans="1:11" hidden="1">
      <c r="A202" s="130"/>
      <c r="B202" s="317"/>
      <c r="C202" s="318"/>
      <c r="D202" s="125"/>
      <c r="E202" s="125"/>
      <c r="F202" s="125"/>
      <c r="G202" s="125"/>
      <c r="H202" s="125"/>
      <c r="I202" s="113"/>
      <c r="J202" s="113"/>
      <c r="K202" s="113"/>
    </row>
    <row r="203" spans="1:11" hidden="1">
      <c r="A203" s="130"/>
      <c r="B203" s="317"/>
      <c r="C203" s="318"/>
      <c r="D203" s="125"/>
      <c r="E203" s="125"/>
      <c r="F203" s="125"/>
      <c r="G203" s="125"/>
      <c r="H203" s="125"/>
      <c r="I203" s="113"/>
      <c r="J203" s="113"/>
      <c r="K203" s="113"/>
    </row>
    <row r="204" spans="1:11" hidden="1">
      <c r="A204" s="130"/>
      <c r="B204" s="317"/>
      <c r="C204" s="318"/>
      <c r="D204" s="125"/>
      <c r="E204" s="125"/>
      <c r="F204" s="125"/>
      <c r="G204" s="125"/>
      <c r="H204" s="125"/>
      <c r="I204" s="113"/>
      <c r="J204" s="113"/>
      <c r="K204" s="113"/>
    </row>
    <row r="205" spans="1:11" hidden="1">
      <c r="A205" s="130"/>
      <c r="B205" s="317"/>
      <c r="C205" s="318"/>
      <c r="D205" s="125"/>
      <c r="E205" s="125"/>
      <c r="F205" s="125"/>
      <c r="G205" s="125"/>
      <c r="H205" s="125"/>
      <c r="I205" s="113"/>
      <c r="J205" s="113"/>
      <c r="K205" s="113"/>
    </row>
    <row r="206" spans="1:11" hidden="1">
      <c r="A206" s="130"/>
      <c r="B206" s="317"/>
      <c r="C206" s="318"/>
      <c r="D206" s="125"/>
      <c r="E206" s="125"/>
      <c r="F206" s="125"/>
      <c r="G206" s="125"/>
      <c r="H206" s="125"/>
      <c r="I206" s="113"/>
      <c r="J206" s="113"/>
      <c r="K206" s="113"/>
    </row>
    <row r="207" spans="1:11" hidden="1">
      <c r="A207" s="130"/>
      <c r="B207" s="317"/>
      <c r="C207" s="318"/>
      <c r="D207" s="125"/>
      <c r="E207" s="125"/>
      <c r="F207" s="125"/>
      <c r="G207" s="125"/>
      <c r="H207" s="125"/>
      <c r="I207" s="113"/>
      <c r="J207" s="113"/>
      <c r="K207" s="113"/>
    </row>
    <row r="208" spans="1:11" hidden="1">
      <c r="A208" s="130"/>
      <c r="B208" s="317"/>
      <c r="C208" s="318"/>
      <c r="D208" s="125"/>
      <c r="E208" s="125"/>
      <c r="F208" s="125"/>
      <c r="G208" s="125"/>
      <c r="H208" s="125"/>
      <c r="I208" s="113"/>
      <c r="J208" s="113"/>
      <c r="K208" s="113"/>
    </row>
    <row r="209" spans="1:11" hidden="1">
      <c r="A209" s="124"/>
      <c r="B209" s="725"/>
      <c r="C209" s="726"/>
      <c r="D209" s="125"/>
      <c r="E209" s="125"/>
      <c r="F209" s="125"/>
      <c r="G209" s="125"/>
      <c r="H209" s="125"/>
      <c r="I209" s="113"/>
      <c r="J209" s="113"/>
      <c r="K209" s="113"/>
    </row>
    <row r="210" spans="1:11" hidden="1">
      <c r="A210" s="124"/>
      <c r="B210" s="725"/>
      <c r="C210" s="726"/>
      <c r="D210" s="125"/>
      <c r="E210" s="125"/>
      <c r="F210" s="125"/>
      <c r="G210" s="125"/>
      <c r="H210" s="125"/>
      <c r="I210" s="113"/>
      <c r="J210" s="113"/>
      <c r="K210" s="113"/>
    </row>
    <row r="211" spans="1:11" hidden="1">
      <c r="A211" s="124"/>
      <c r="B211" s="725"/>
      <c r="C211" s="726"/>
      <c r="D211" s="125"/>
      <c r="E211" s="125"/>
      <c r="F211" s="125"/>
      <c r="G211" s="125"/>
      <c r="H211" s="125"/>
      <c r="I211" s="113"/>
      <c r="J211" s="113"/>
      <c r="K211" s="113"/>
    </row>
    <row r="212" spans="1:11" hidden="1">
      <c r="A212" s="124"/>
      <c r="B212" s="725"/>
      <c r="C212" s="726"/>
      <c r="D212" s="125"/>
      <c r="E212" s="125"/>
      <c r="F212" s="125"/>
      <c r="G212" s="125"/>
      <c r="H212" s="125"/>
      <c r="I212" s="113"/>
      <c r="J212" s="113"/>
      <c r="K212" s="113"/>
    </row>
    <row r="213" spans="1:11" hidden="1">
      <c r="A213" s="166"/>
      <c r="B213" s="727"/>
      <c r="C213" s="728"/>
      <c r="D213" s="167"/>
      <c r="E213" s="167"/>
      <c r="F213" s="167"/>
      <c r="G213" s="167"/>
      <c r="H213" s="167"/>
      <c r="I213" s="171"/>
      <c r="J213" s="171"/>
      <c r="K213" s="171"/>
    </row>
    <row r="214" spans="1:11" ht="15.75" hidden="1" thickBot="1">
      <c r="A214" s="18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1:11" ht="15.75" thickBot="1">
      <c r="A215" s="131"/>
      <c r="B215" s="729" t="s">
        <v>264</v>
      </c>
      <c r="C215" s="730"/>
      <c r="D215" s="730"/>
      <c r="E215" s="731"/>
      <c r="F215" s="175">
        <f>F213+F185+F159+F133+G121+F107+G95+F82+F70+F58+F33+I21+F46</f>
        <v>10088</v>
      </c>
      <c r="G215" s="175">
        <f t="shared" ref="G215:H215" si="14">G213+G185+G159+G133+H121+G107+H95+G82+G70+G58+G33+J21+G46</f>
        <v>10088</v>
      </c>
      <c r="H215" s="175">
        <f t="shared" si="14"/>
        <v>10088</v>
      </c>
      <c r="I215" s="113"/>
      <c r="J215" s="113"/>
      <c r="K215" s="113"/>
    </row>
    <row r="216" spans="1:11">
      <c r="A216" s="18"/>
      <c r="B216" s="113"/>
      <c r="C216" s="113"/>
      <c r="D216" s="113"/>
      <c r="E216" s="113"/>
      <c r="F216" s="113"/>
      <c r="G216" s="356"/>
      <c r="H216" s="113"/>
      <c r="I216" s="113"/>
      <c r="J216" s="113"/>
      <c r="K216" s="113"/>
    </row>
    <row r="217" spans="1:11">
      <c r="A217" s="18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1:11">
      <c r="A218" s="732" t="s">
        <v>179</v>
      </c>
      <c r="B218" s="732"/>
      <c r="C218" s="732"/>
      <c r="D218" s="378" t="s">
        <v>492</v>
      </c>
      <c r="E218" s="379"/>
      <c r="F218" s="378"/>
      <c r="G218" s="379"/>
      <c r="H218" s="378" t="s">
        <v>475</v>
      </c>
      <c r="I218" s="312"/>
      <c r="J218" s="132"/>
      <c r="K218" s="132"/>
    </row>
    <row r="219" spans="1:11">
      <c r="A219" s="732" t="s">
        <v>180</v>
      </c>
      <c r="B219" s="732"/>
      <c r="C219" s="732"/>
      <c r="D219" s="134" t="s">
        <v>265</v>
      </c>
      <c r="E219" s="135"/>
      <c r="F219" s="134" t="s">
        <v>266</v>
      </c>
      <c r="G219" s="135"/>
      <c r="H219" s="322" t="s">
        <v>267</v>
      </c>
      <c r="I219" s="322"/>
      <c r="J219" s="135"/>
      <c r="K219" s="135"/>
    </row>
    <row r="220" spans="1:11">
      <c r="A220" s="321"/>
      <c r="B220" s="323"/>
      <c r="C220" s="323"/>
      <c r="D220" s="323"/>
      <c r="E220" s="323"/>
      <c r="F220" s="323"/>
      <c r="G220" s="323"/>
      <c r="H220" s="323"/>
      <c r="I220" s="323"/>
      <c r="J220" s="323"/>
      <c r="K220" s="323"/>
    </row>
    <row r="221" spans="1:11">
      <c r="A221" s="723" t="s">
        <v>182</v>
      </c>
      <c r="B221" s="723"/>
      <c r="C221" s="359" t="s">
        <v>476</v>
      </c>
      <c r="D221" s="360"/>
      <c r="E221" s="359" t="s">
        <v>477</v>
      </c>
      <c r="F221" s="132"/>
      <c r="G221" s="312"/>
      <c r="H221" s="312"/>
      <c r="I221" s="323"/>
      <c r="J221" s="323"/>
      <c r="K221" s="323"/>
    </row>
    <row r="222" spans="1:11">
      <c r="A222" s="323"/>
      <c r="B222" s="323"/>
      <c r="C222" s="134" t="s">
        <v>268</v>
      </c>
      <c r="D222" s="135"/>
      <c r="E222" s="322" t="s">
        <v>183</v>
      </c>
      <c r="F222" s="135"/>
      <c r="G222" s="724" t="s">
        <v>184</v>
      </c>
      <c r="H222" s="724"/>
      <c r="I222" s="323"/>
      <c r="J222" s="323"/>
      <c r="K222" s="323"/>
    </row>
    <row r="223" spans="1:11">
      <c r="A223" s="323"/>
      <c r="B223" s="323"/>
      <c r="C223" s="323"/>
      <c r="D223" s="323"/>
      <c r="E223" s="323"/>
      <c r="F223" s="323"/>
      <c r="G223" s="323"/>
      <c r="H223" s="323"/>
      <c r="I223" s="323"/>
      <c r="J223" s="323"/>
      <c r="K223" s="323"/>
    </row>
    <row r="224" spans="1:11">
      <c r="A224" s="323"/>
      <c r="B224" s="323"/>
      <c r="C224" s="323"/>
      <c r="D224" s="323"/>
      <c r="E224" s="323"/>
      <c r="F224" s="323"/>
      <c r="G224" s="323"/>
      <c r="H224" s="323"/>
      <c r="I224" s="323"/>
      <c r="J224" s="323"/>
      <c r="K224" s="323"/>
    </row>
    <row r="225" spans="1:11">
      <c r="A225" s="323"/>
      <c r="B225" s="323"/>
      <c r="C225" s="323"/>
      <c r="D225" s="323"/>
      <c r="E225" s="323"/>
      <c r="F225" s="323"/>
      <c r="G225" s="323"/>
      <c r="H225" s="323"/>
      <c r="I225" s="323"/>
      <c r="J225" s="323"/>
      <c r="K225" s="323"/>
    </row>
    <row r="226" spans="1:11">
      <c r="A226" s="323"/>
      <c r="B226" s="323"/>
      <c r="C226" s="323"/>
      <c r="D226" s="323"/>
      <c r="E226" s="323"/>
      <c r="F226" s="323"/>
      <c r="G226" s="323"/>
      <c r="H226" s="323"/>
      <c r="I226" s="323"/>
      <c r="J226" s="323"/>
      <c r="K226" s="323"/>
    </row>
    <row r="227" spans="1:11">
      <c r="A227" s="723" t="s">
        <v>489</v>
      </c>
      <c r="B227" s="723"/>
      <c r="C227" s="723"/>
      <c r="D227" s="723"/>
      <c r="E227" s="723"/>
      <c r="F227" s="323"/>
      <c r="G227" s="323"/>
      <c r="H227" s="323"/>
      <c r="I227" s="323"/>
      <c r="J227" s="323"/>
      <c r="K227" s="323"/>
    </row>
  </sheetData>
  <mergeCells count="129">
    <mergeCell ref="A218:C218"/>
    <mergeCell ref="A219:C219"/>
    <mergeCell ref="A221:B221"/>
    <mergeCell ref="G222:H222"/>
    <mergeCell ref="A227:E227"/>
    <mergeCell ref="B209:C209"/>
    <mergeCell ref="B210:C210"/>
    <mergeCell ref="B211:C211"/>
    <mergeCell ref="B212:C212"/>
    <mergeCell ref="B213:C213"/>
    <mergeCell ref="B215:E215"/>
    <mergeCell ref="B184:C184"/>
    <mergeCell ref="B185:C185"/>
    <mergeCell ref="B189:C189"/>
    <mergeCell ref="B190:C190"/>
    <mergeCell ref="B191:C191"/>
    <mergeCell ref="B192:C192"/>
    <mergeCell ref="B166:C166"/>
    <mergeCell ref="B167:C167"/>
    <mergeCell ref="B168:C168"/>
    <mergeCell ref="B173:C173"/>
    <mergeCell ref="B182:C182"/>
    <mergeCell ref="B183:C183"/>
    <mergeCell ref="B157:C157"/>
    <mergeCell ref="B158:C158"/>
    <mergeCell ref="B159:C159"/>
    <mergeCell ref="B163:C163"/>
    <mergeCell ref="B164:C164"/>
    <mergeCell ref="B165:C165"/>
    <mergeCell ref="B148:C148"/>
    <mergeCell ref="B150:C150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6:C146"/>
    <mergeCell ref="B130:C130"/>
    <mergeCell ref="B131:C131"/>
    <mergeCell ref="B132:C132"/>
    <mergeCell ref="B133:C133"/>
    <mergeCell ref="B137:C137"/>
    <mergeCell ref="B138:C138"/>
    <mergeCell ref="B121:C121"/>
    <mergeCell ref="B125:C125"/>
    <mergeCell ref="B126:C126"/>
    <mergeCell ref="B127:C127"/>
    <mergeCell ref="B128:C128"/>
    <mergeCell ref="B129:C129"/>
    <mergeCell ref="B113:C113"/>
    <mergeCell ref="B114:C114"/>
    <mergeCell ref="B115:C115"/>
    <mergeCell ref="B116:F116"/>
    <mergeCell ref="B117:C117"/>
    <mergeCell ref="B119:C119"/>
    <mergeCell ref="B104:C104"/>
    <mergeCell ref="B105:C105"/>
    <mergeCell ref="B106:C106"/>
    <mergeCell ref="B107:C107"/>
    <mergeCell ref="B111:C111"/>
    <mergeCell ref="B112:C112"/>
    <mergeCell ref="B95:C95"/>
    <mergeCell ref="B99:C99"/>
    <mergeCell ref="B100:C100"/>
    <mergeCell ref="B101:C101"/>
    <mergeCell ref="B102:C102"/>
    <mergeCell ref="B103:C103"/>
    <mergeCell ref="B87:C87"/>
    <mergeCell ref="B88:C88"/>
    <mergeCell ref="B89:C89"/>
    <mergeCell ref="B90:C90"/>
    <mergeCell ref="B93:C93"/>
    <mergeCell ref="B94:C94"/>
    <mergeCell ref="B77:C77"/>
    <mergeCell ref="B78:C78"/>
    <mergeCell ref="B79:C79"/>
    <mergeCell ref="B80:C80"/>
    <mergeCell ref="B81:C81"/>
    <mergeCell ref="B82:C82"/>
    <mergeCell ref="B69:C69"/>
    <mergeCell ref="B70:C70"/>
    <mergeCell ref="A72:H72"/>
    <mergeCell ref="B74:C74"/>
    <mergeCell ref="B75:C75"/>
    <mergeCell ref="B76:C76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62:C62"/>
    <mergeCell ref="B45:D45"/>
    <mergeCell ref="B46:D46"/>
    <mergeCell ref="B50:C50"/>
    <mergeCell ref="B51:C51"/>
    <mergeCell ref="B52:C52"/>
    <mergeCell ref="B53:C53"/>
    <mergeCell ref="B39:D39"/>
    <mergeCell ref="B40:D40"/>
    <mergeCell ref="B41:D41"/>
    <mergeCell ref="B42:D42"/>
    <mergeCell ref="B43:D43"/>
    <mergeCell ref="B44:D44"/>
    <mergeCell ref="J13:J15"/>
    <mergeCell ref="K13:K15"/>
    <mergeCell ref="D14:D15"/>
    <mergeCell ref="A35:H35"/>
    <mergeCell ref="B37:D37"/>
    <mergeCell ref="B38:D38"/>
    <mergeCell ref="A1:K1"/>
    <mergeCell ref="A4:K4"/>
    <mergeCell ref="A6:B6"/>
    <mergeCell ref="A8:C8"/>
    <mergeCell ref="A13:A15"/>
    <mergeCell ref="B13:B15"/>
    <mergeCell ref="C13:C15"/>
    <mergeCell ref="D13:G13"/>
    <mergeCell ref="H13:H15"/>
    <mergeCell ref="I13:I15"/>
  </mergeCells>
  <pageMargins left="0.25" right="0.25" top="0.75" bottom="0.75" header="0.3" footer="0.3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5"/>
  <sheetViews>
    <sheetView workbookViewId="0">
      <selection activeCell="F45" sqref="F45:H45"/>
    </sheetView>
  </sheetViews>
  <sheetFormatPr defaultRowHeight="15"/>
  <cols>
    <col min="5" max="5" width="12.28515625" customWidth="1"/>
    <col min="6" max="6" width="12.7109375" customWidth="1"/>
    <col min="7" max="7" width="14.140625" customWidth="1"/>
    <col min="8" max="8" width="12" customWidth="1"/>
    <col min="9" max="9" width="14.42578125" customWidth="1"/>
    <col min="10" max="10" width="13" customWidth="1"/>
    <col min="11" max="11" width="12" customWidth="1"/>
  </cols>
  <sheetData>
    <row r="1" spans="1:11" ht="50.25" customHeight="1">
      <c r="A1" s="770" t="s">
        <v>203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</row>
    <row r="2" spans="1:11">
      <c r="A2" s="18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>
      <c r="A3" s="18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>
      <c r="A4" s="771" t="s">
        <v>437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</row>
    <row r="5" spans="1:11">
      <c r="A5" s="18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471" t="s">
        <v>204</v>
      </c>
      <c r="B6" s="471"/>
      <c r="C6" s="341" t="s">
        <v>328</v>
      </c>
      <c r="D6" s="113"/>
      <c r="E6" s="113"/>
      <c r="F6" s="113"/>
      <c r="G6" s="113"/>
      <c r="H6" s="113"/>
      <c r="I6" s="113"/>
      <c r="J6" s="113"/>
      <c r="K6" s="113"/>
    </row>
    <row r="7" spans="1:11">
      <c r="A7" s="18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>
      <c r="A8" s="471" t="s">
        <v>205</v>
      </c>
      <c r="B8" s="471"/>
      <c r="C8" s="471"/>
      <c r="D8" s="342" t="s">
        <v>491</v>
      </c>
      <c r="E8" s="113"/>
      <c r="F8" s="113"/>
      <c r="G8" s="113"/>
      <c r="H8" s="113"/>
      <c r="I8" s="113"/>
      <c r="J8" s="113"/>
      <c r="K8" s="113"/>
    </row>
    <row r="9" spans="1:11">
      <c r="A9" s="314"/>
      <c r="B9" s="314"/>
      <c r="C9" s="314"/>
      <c r="D9" s="113"/>
      <c r="E9" s="113"/>
      <c r="F9" s="113"/>
      <c r="G9" s="113"/>
      <c r="H9" s="113"/>
      <c r="I9" s="113"/>
      <c r="J9" s="113"/>
      <c r="K9" s="113"/>
    </row>
    <row r="10" spans="1:11">
      <c r="A10" s="116" t="s">
        <v>206</v>
      </c>
      <c r="B10" s="117"/>
      <c r="C10" s="117"/>
      <c r="D10" s="117"/>
      <c r="E10" s="113"/>
      <c r="F10" s="113"/>
      <c r="G10" s="113"/>
      <c r="H10" s="113"/>
      <c r="I10" s="113"/>
      <c r="J10" s="113"/>
      <c r="K10" s="113"/>
    </row>
    <row r="11" spans="1:11">
      <c r="A11" s="116" t="s">
        <v>207</v>
      </c>
      <c r="B11" s="117"/>
      <c r="C11" s="117"/>
      <c r="D11" s="117"/>
      <c r="E11" s="113"/>
      <c r="F11" s="113"/>
      <c r="G11" s="113"/>
      <c r="H11" s="113"/>
      <c r="I11" s="113"/>
      <c r="J11" s="113"/>
      <c r="K11" s="113"/>
    </row>
    <row r="12" spans="1:11">
      <c r="A12" s="18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42.75" customHeight="1">
      <c r="A13" s="766"/>
      <c r="B13" s="767" t="s">
        <v>208</v>
      </c>
      <c r="C13" s="767" t="s">
        <v>209</v>
      </c>
      <c r="D13" s="767" t="s">
        <v>210</v>
      </c>
      <c r="E13" s="767"/>
      <c r="F13" s="767"/>
      <c r="G13" s="767"/>
      <c r="H13" s="767" t="s">
        <v>211</v>
      </c>
      <c r="I13" s="767" t="s">
        <v>529</v>
      </c>
      <c r="J13" s="767" t="s">
        <v>309</v>
      </c>
      <c r="K13" s="767" t="s">
        <v>530</v>
      </c>
    </row>
    <row r="14" spans="1:11">
      <c r="A14" s="766"/>
      <c r="B14" s="767"/>
      <c r="C14" s="767"/>
      <c r="D14" s="766" t="s">
        <v>212</v>
      </c>
      <c r="E14" s="316" t="s">
        <v>29</v>
      </c>
      <c r="F14" s="316"/>
      <c r="G14" s="316"/>
      <c r="H14" s="767"/>
      <c r="I14" s="767"/>
      <c r="J14" s="767"/>
      <c r="K14" s="767"/>
    </row>
    <row r="15" spans="1:11" ht="36.75">
      <c r="A15" s="766"/>
      <c r="B15" s="767"/>
      <c r="C15" s="767"/>
      <c r="D15" s="766"/>
      <c r="E15" s="120" t="s">
        <v>213</v>
      </c>
      <c r="F15" s="120" t="s">
        <v>214</v>
      </c>
      <c r="G15" s="120" t="s">
        <v>215</v>
      </c>
      <c r="H15" s="767"/>
      <c r="I15" s="767"/>
      <c r="J15" s="767"/>
      <c r="K15" s="767"/>
    </row>
    <row r="16" spans="1:11">
      <c r="A16" s="122">
        <v>1</v>
      </c>
      <c r="B16" s="122">
        <v>2</v>
      </c>
      <c r="C16" s="122">
        <v>3</v>
      </c>
      <c r="D16" s="122">
        <v>4</v>
      </c>
      <c r="E16" s="122">
        <v>5</v>
      </c>
      <c r="F16" s="122">
        <v>6</v>
      </c>
      <c r="G16" s="122">
        <v>7</v>
      </c>
      <c r="H16" s="122">
        <v>8</v>
      </c>
      <c r="I16" s="122">
        <v>9</v>
      </c>
      <c r="J16" s="122">
        <v>10</v>
      </c>
      <c r="K16" s="122">
        <v>11</v>
      </c>
    </row>
    <row r="17" spans="1:11">
      <c r="A17" s="122"/>
      <c r="B17" s="122" t="s">
        <v>490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48.75">
      <c r="A18" s="124">
        <v>1</v>
      </c>
      <c r="B18" s="120" t="s">
        <v>305</v>
      </c>
      <c r="C18" s="125"/>
      <c r="D18" s="125">
        <f>E18+F18+G18</f>
        <v>0</v>
      </c>
      <c r="E18" s="125"/>
      <c r="F18" s="125"/>
      <c r="G18" s="125"/>
      <c r="H18" s="125"/>
      <c r="I18" s="169">
        <f>ROUND((C18*D18+H18)*9,0)</f>
        <v>0</v>
      </c>
      <c r="J18" s="125"/>
      <c r="K18" s="125">
        <f>J22/3*9</f>
        <v>0</v>
      </c>
    </row>
    <row r="19" spans="1:11" ht="24.75">
      <c r="A19" s="124">
        <v>2</v>
      </c>
      <c r="B19" s="120" t="s">
        <v>306</v>
      </c>
      <c r="C19" s="125"/>
      <c r="D19" s="125">
        <f t="shared" ref="D19" si="0">E19+F19+G19</f>
        <v>0</v>
      </c>
      <c r="E19" s="125"/>
      <c r="F19" s="125"/>
      <c r="G19" s="125"/>
      <c r="H19" s="125"/>
      <c r="I19" s="169">
        <f t="shared" ref="I19" si="1">ROUND((C19*D19+H19)*12,0)</f>
        <v>0</v>
      </c>
      <c r="J19" s="125"/>
      <c r="K19" s="125"/>
    </row>
    <row r="20" spans="1:11" ht="24.75">
      <c r="A20" s="124">
        <v>3</v>
      </c>
      <c r="B20" s="120" t="s">
        <v>307</v>
      </c>
      <c r="C20" s="125">
        <v>3.8</v>
      </c>
      <c r="D20" s="125">
        <f>E20+F20+G20</f>
        <v>0</v>
      </c>
      <c r="E20" s="125"/>
      <c r="F20" s="125"/>
      <c r="G20" s="125"/>
      <c r="H20" s="125">
        <v>12267.83</v>
      </c>
      <c r="I20" s="169">
        <f>ROUND((C20*D20+H20)*12,0)</f>
        <v>147214</v>
      </c>
      <c r="J20" s="169">
        <f>I20</f>
        <v>147214</v>
      </c>
      <c r="K20" s="169">
        <f>I20</f>
        <v>147214</v>
      </c>
    </row>
    <row r="21" spans="1:11" hidden="1">
      <c r="A21" s="122"/>
      <c r="B21" s="122"/>
      <c r="C21" s="122"/>
      <c r="D21" s="122"/>
      <c r="E21" s="122"/>
      <c r="F21" s="122"/>
      <c r="G21" s="122"/>
      <c r="H21" s="122"/>
      <c r="I21" s="122"/>
      <c r="J21" s="169"/>
      <c r="K21" s="169"/>
    </row>
    <row r="22" spans="1:11" hidden="1">
      <c r="A22" s="124"/>
      <c r="B22" s="120"/>
      <c r="C22" s="125"/>
      <c r="D22" s="125"/>
      <c r="E22" s="125"/>
      <c r="F22" s="125"/>
      <c r="G22" s="125"/>
      <c r="H22" s="125"/>
      <c r="I22" s="169"/>
      <c r="J22" s="169"/>
      <c r="K22" s="169"/>
    </row>
    <row r="23" spans="1:11" hidden="1">
      <c r="A23" s="124"/>
      <c r="B23" s="120"/>
      <c r="C23" s="125"/>
      <c r="D23" s="125"/>
      <c r="E23" s="125"/>
      <c r="F23" s="125"/>
      <c r="G23" s="125"/>
      <c r="H23" s="125"/>
      <c r="I23" s="169"/>
      <c r="J23" s="169"/>
      <c r="K23" s="169"/>
    </row>
    <row r="24" spans="1:11" hidden="1">
      <c r="A24" s="124"/>
      <c r="B24" s="120"/>
      <c r="C24" s="125"/>
      <c r="D24" s="125"/>
      <c r="E24" s="125"/>
      <c r="F24" s="125"/>
      <c r="G24" s="125"/>
      <c r="H24" s="125"/>
      <c r="I24" s="169"/>
      <c r="J24" s="169"/>
      <c r="K24" s="169"/>
    </row>
    <row r="25" spans="1:11" hidden="1">
      <c r="A25" s="124"/>
      <c r="B25" s="122"/>
      <c r="C25" s="125"/>
      <c r="D25" s="125"/>
      <c r="E25" s="125"/>
      <c r="F25" s="125"/>
      <c r="G25" s="125"/>
      <c r="H25" s="125"/>
      <c r="I25" s="169"/>
      <c r="J25" s="169"/>
      <c r="K25" s="169"/>
    </row>
    <row r="26" spans="1:11" hidden="1">
      <c r="A26" s="124"/>
      <c r="B26" s="120"/>
      <c r="C26" s="125"/>
      <c r="D26" s="125"/>
      <c r="E26" s="125"/>
      <c r="F26" s="125"/>
      <c r="G26" s="125"/>
      <c r="H26" s="125"/>
      <c r="I26" s="169"/>
      <c r="J26" s="169"/>
      <c r="K26" s="169"/>
    </row>
    <row r="27" spans="1:11" hidden="1">
      <c r="A27" s="124"/>
      <c r="B27" s="120"/>
      <c r="C27" s="125"/>
      <c r="D27" s="125"/>
      <c r="E27" s="125"/>
      <c r="F27" s="125"/>
      <c r="G27" s="125"/>
      <c r="H27" s="125"/>
      <c r="I27" s="169"/>
      <c r="J27" s="169"/>
      <c r="K27" s="169"/>
    </row>
    <row r="28" spans="1:11" hidden="1">
      <c r="A28" s="124"/>
      <c r="B28" s="120"/>
      <c r="C28" s="125"/>
      <c r="D28" s="125"/>
      <c r="E28" s="125"/>
      <c r="F28" s="125"/>
      <c r="G28" s="125"/>
      <c r="H28" s="125"/>
      <c r="I28" s="169"/>
      <c r="J28" s="169"/>
      <c r="K28" s="169"/>
    </row>
    <row r="29" spans="1:11">
      <c r="A29" s="166" t="s">
        <v>216</v>
      </c>
      <c r="B29" s="167"/>
      <c r="C29" s="167"/>
      <c r="D29" s="167"/>
      <c r="E29" s="167"/>
      <c r="F29" s="167"/>
      <c r="G29" s="167"/>
      <c r="H29" s="167"/>
      <c r="I29" s="170">
        <f>SUM(I18:I28)</f>
        <v>147214</v>
      </c>
      <c r="J29" s="170">
        <f t="shared" ref="J29:K29" si="2">SUM(J18:J28)</f>
        <v>147214</v>
      </c>
      <c r="K29" s="170">
        <f t="shared" si="2"/>
        <v>147214</v>
      </c>
    </row>
    <row r="30" spans="1:11">
      <c r="A30" s="18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idden="1">
      <c r="A31" s="67" t="s">
        <v>217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362"/>
    </row>
    <row r="32" spans="1:11" hidden="1">
      <c r="A32" s="18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84.75" hidden="1">
      <c r="A33" s="126" t="s">
        <v>218</v>
      </c>
      <c r="B33" s="120" t="s">
        <v>219</v>
      </c>
      <c r="C33" s="120" t="s">
        <v>220</v>
      </c>
      <c r="D33" s="120" t="s">
        <v>221</v>
      </c>
      <c r="E33" s="120" t="s">
        <v>222</v>
      </c>
      <c r="F33" s="120" t="s">
        <v>223</v>
      </c>
      <c r="G33" s="120" t="s">
        <v>223</v>
      </c>
      <c r="H33" s="120" t="s">
        <v>223</v>
      </c>
      <c r="I33" s="127"/>
      <c r="J33" s="127"/>
      <c r="K33" s="127"/>
    </row>
    <row r="34" spans="1:11" hidden="1">
      <c r="A34" s="122">
        <v>1</v>
      </c>
      <c r="B34" s="122">
        <v>2</v>
      </c>
      <c r="C34" s="122">
        <v>3</v>
      </c>
      <c r="D34" s="122">
        <v>4</v>
      </c>
      <c r="E34" s="122">
        <v>5</v>
      </c>
      <c r="F34" s="122">
        <v>6</v>
      </c>
      <c r="G34" s="122">
        <v>7</v>
      </c>
      <c r="H34" s="122">
        <v>8</v>
      </c>
      <c r="I34" s="315"/>
      <c r="J34" s="315"/>
      <c r="K34" s="315"/>
    </row>
    <row r="35" spans="1:11" hidden="1">
      <c r="A35" s="124"/>
      <c r="B35" s="125"/>
      <c r="C35" s="125"/>
      <c r="D35" s="125"/>
      <c r="E35" s="125"/>
      <c r="F35" s="125"/>
      <c r="G35" s="125"/>
      <c r="H35" s="125"/>
      <c r="I35" s="113"/>
      <c r="J35" s="113"/>
      <c r="K35" s="113"/>
    </row>
    <row r="36" spans="1:11" hidden="1">
      <c r="A36" s="124"/>
      <c r="B36" s="125"/>
      <c r="C36" s="125"/>
      <c r="D36" s="125"/>
      <c r="E36" s="125"/>
      <c r="F36" s="125"/>
      <c r="G36" s="125"/>
      <c r="H36" s="125"/>
      <c r="I36" s="113"/>
      <c r="J36" s="113"/>
      <c r="K36" s="113"/>
    </row>
    <row r="37" spans="1:11" hidden="1">
      <c r="A37" s="124"/>
      <c r="B37" s="125"/>
      <c r="C37" s="125"/>
      <c r="D37" s="125"/>
      <c r="E37" s="125"/>
      <c r="F37" s="125"/>
      <c r="G37" s="125"/>
      <c r="H37" s="125"/>
      <c r="I37" s="113"/>
      <c r="J37" s="113"/>
      <c r="K37" s="113"/>
    </row>
    <row r="38" spans="1:11" hidden="1">
      <c r="A38" s="124"/>
      <c r="B38" s="125"/>
      <c r="C38" s="125"/>
      <c r="D38" s="125"/>
      <c r="E38" s="125"/>
      <c r="F38" s="125"/>
      <c r="G38" s="125"/>
      <c r="H38" s="125"/>
      <c r="I38" s="113"/>
      <c r="J38" s="113"/>
      <c r="K38" s="113"/>
    </row>
    <row r="39" spans="1:11" hidden="1">
      <c r="A39" s="124"/>
      <c r="B39" s="125"/>
      <c r="C39" s="125"/>
      <c r="D39" s="125"/>
      <c r="E39" s="125"/>
      <c r="F39" s="125"/>
      <c r="G39" s="125"/>
      <c r="H39" s="125"/>
      <c r="I39" s="113"/>
      <c r="J39" s="113"/>
      <c r="K39" s="113"/>
    </row>
    <row r="40" spans="1:11" hidden="1">
      <c r="A40" s="124"/>
      <c r="B40" s="125"/>
      <c r="C40" s="125"/>
      <c r="D40" s="125"/>
      <c r="E40" s="125"/>
      <c r="F40" s="125"/>
      <c r="G40" s="125"/>
      <c r="H40" s="125"/>
      <c r="I40" s="113"/>
      <c r="J40" s="113"/>
      <c r="K40" s="113"/>
    </row>
    <row r="41" spans="1:11" hidden="1">
      <c r="A41" s="124"/>
      <c r="B41" s="125"/>
      <c r="C41" s="125"/>
      <c r="D41" s="125"/>
      <c r="E41" s="125"/>
      <c r="F41" s="125"/>
      <c r="G41" s="125"/>
      <c r="H41" s="125"/>
      <c r="I41" s="113"/>
      <c r="J41" s="113"/>
      <c r="K41" s="113"/>
    </row>
    <row r="42" spans="1:11" hidden="1">
      <c r="A42" s="18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>
      <c r="A43" s="763" t="s">
        <v>224</v>
      </c>
      <c r="B43" s="763"/>
      <c r="C43" s="763"/>
      <c r="D43" s="763"/>
      <c r="E43" s="763"/>
      <c r="F43" s="763"/>
      <c r="G43" s="763"/>
      <c r="H43" s="763"/>
      <c r="I43" s="113"/>
      <c r="J43" s="113"/>
      <c r="K43" s="113"/>
    </row>
    <row r="44" spans="1:11">
      <c r="A44" s="18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1:11" ht="48.75">
      <c r="A45" s="126" t="s">
        <v>218</v>
      </c>
      <c r="B45" s="733" t="s">
        <v>225</v>
      </c>
      <c r="C45" s="764"/>
      <c r="D45" s="734"/>
      <c r="E45" s="120" t="s">
        <v>226</v>
      </c>
      <c r="F45" s="120" t="s">
        <v>301</v>
      </c>
      <c r="G45" s="120" t="s">
        <v>302</v>
      </c>
      <c r="H45" s="120" t="s">
        <v>421</v>
      </c>
      <c r="I45" s="113"/>
      <c r="J45" s="113"/>
      <c r="K45" s="113"/>
    </row>
    <row r="46" spans="1:11">
      <c r="A46" s="122">
        <v>1</v>
      </c>
      <c r="B46" s="725">
        <v>2</v>
      </c>
      <c r="C46" s="765"/>
      <c r="D46" s="726"/>
      <c r="E46" s="122">
        <v>3</v>
      </c>
      <c r="F46" s="122">
        <v>4</v>
      </c>
      <c r="G46" s="122">
        <v>5</v>
      </c>
      <c r="H46" s="122">
        <v>6</v>
      </c>
      <c r="I46" s="113"/>
      <c r="J46" s="113"/>
      <c r="K46" s="113"/>
    </row>
    <row r="47" spans="1:11">
      <c r="A47" s="124">
        <v>1</v>
      </c>
      <c r="B47" s="759" t="s">
        <v>227</v>
      </c>
      <c r="C47" s="760"/>
      <c r="D47" s="761"/>
      <c r="E47" s="169"/>
      <c r="F47" s="169">
        <f>F49</f>
        <v>32387</v>
      </c>
      <c r="G47" s="169">
        <f t="shared" ref="G47:H47" si="3">G49</f>
        <v>32387</v>
      </c>
      <c r="H47" s="169">
        <f t="shared" si="3"/>
        <v>32387</v>
      </c>
      <c r="I47" s="113"/>
      <c r="J47" s="113"/>
      <c r="K47" s="113"/>
    </row>
    <row r="48" spans="1:11">
      <c r="A48" s="124"/>
      <c r="B48" s="759" t="s">
        <v>29</v>
      </c>
      <c r="C48" s="760"/>
      <c r="D48" s="761"/>
      <c r="E48" s="169"/>
      <c r="F48" s="169"/>
      <c r="G48" s="169"/>
      <c r="H48" s="169"/>
      <c r="I48" s="113"/>
      <c r="J48" s="113"/>
      <c r="K48" s="113"/>
    </row>
    <row r="49" spans="1:11">
      <c r="A49" s="130"/>
      <c r="B49" s="759" t="s">
        <v>228</v>
      </c>
      <c r="C49" s="760"/>
      <c r="D49" s="761"/>
      <c r="E49" s="169">
        <f>I20+I18+I22+I24+I26+I28</f>
        <v>147214</v>
      </c>
      <c r="F49" s="169">
        <f>ROUND(E49*0.22,0)</f>
        <v>32387</v>
      </c>
      <c r="G49" s="169">
        <f>ROUND(J29*0.22,0)</f>
        <v>32387</v>
      </c>
      <c r="H49" s="169">
        <f>ROUND(K29*0.22,0)</f>
        <v>32387</v>
      </c>
      <c r="I49" s="113"/>
      <c r="J49" s="113"/>
      <c r="K49" s="113"/>
    </row>
    <row r="50" spans="1:11">
      <c r="A50" s="124">
        <v>2</v>
      </c>
      <c r="B50" s="759" t="s">
        <v>229</v>
      </c>
      <c r="C50" s="760"/>
      <c r="D50" s="761"/>
      <c r="E50" s="169"/>
      <c r="F50" s="169">
        <f>F51+F52</f>
        <v>4563</v>
      </c>
      <c r="G50" s="169">
        <f t="shared" ref="G50:H50" si="4">G51+G52</f>
        <v>4563</v>
      </c>
      <c r="H50" s="169">
        <f t="shared" si="4"/>
        <v>4563</v>
      </c>
      <c r="I50" s="113"/>
      <c r="J50" s="113"/>
      <c r="K50" s="113"/>
    </row>
    <row r="51" spans="1:11">
      <c r="A51" s="124"/>
      <c r="B51" s="759" t="s">
        <v>230</v>
      </c>
      <c r="C51" s="760"/>
      <c r="D51" s="761"/>
      <c r="E51" s="169">
        <f>E49</f>
        <v>147214</v>
      </c>
      <c r="F51" s="169">
        <f>ROUND(E51*0.029,0)</f>
        <v>4269</v>
      </c>
      <c r="G51" s="169">
        <f>ROUND(J29*0.029,0)</f>
        <v>4269</v>
      </c>
      <c r="H51" s="169">
        <f>ROUND(K29*0.029,0)</f>
        <v>4269</v>
      </c>
      <c r="I51" s="113"/>
      <c r="J51" s="113"/>
      <c r="K51" s="113"/>
    </row>
    <row r="52" spans="1:11">
      <c r="A52" s="124"/>
      <c r="B52" s="759" t="s">
        <v>231</v>
      </c>
      <c r="C52" s="760"/>
      <c r="D52" s="761"/>
      <c r="E52" s="169">
        <f>E51</f>
        <v>147214</v>
      </c>
      <c r="F52" s="169">
        <f>ROUND(E52*0.002,0)</f>
        <v>294</v>
      </c>
      <c r="G52" s="169">
        <f>ROUND(J29*0.002,0)</f>
        <v>294</v>
      </c>
      <c r="H52" s="169">
        <f>ROUND(K29*0.002,0)</f>
        <v>294</v>
      </c>
      <c r="I52" s="113"/>
      <c r="J52" s="113"/>
      <c r="K52" s="113"/>
    </row>
    <row r="53" spans="1:11">
      <c r="A53" s="124">
        <v>3</v>
      </c>
      <c r="B53" s="759" t="s">
        <v>232</v>
      </c>
      <c r="C53" s="760"/>
      <c r="D53" s="761"/>
      <c r="E53" s="169">
        <f>E52</f>
        <v>147214</v>
      </c>
      <c r="F53" s="169">
        <f>ROUND(E53*0.051,0)</f>
        <v>7508</v>
      </c>
      <c r="G53" s="169">
        <f>ROUND(J29*0.051,0)</f>
        <v>7508</v>
      </c>
      <c r="H53" s="169">
        <f>ROUND(K29*0.051,0)</f>
        <v>7508</v>
      </c>
      <c r="I53" s="113"/>
      <c r="J53" s="113"/>
      <c r="K53" s="113"/>
    </row>
    <row r="54" spans="1:11">
      <c r="A54" s="166"/>
      <c r="B54" s="762" t="s">
        <v>216</v>
      </c>
      <c r="C54" s="762"/>
      <c r="D54" s="762"/>
      <c r="E54" s="170"/>
      <c r="F54" s="170">
        <f>F47+F50+F53+1</f>
        <v>44459</v>
      </c>
      <c r="G54" s="170">
        <f>G47+G50+G53+1</f>
        <v>44459</v>
      </c>
      <c r="H54" s="170">
        <f>H47+H50+H53+1</f>
        <v>44459</v>
      </c>
      <c r="I54" s="171"/>
      <c r="J54" s="171"/>
      <c r="K54" s="171"/>
    </row>
    <row r="55" spans="1:11">
      <c r="A55" s="18"/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idden="1">
      <c r="A56" s="67" t="s">
        <v>233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idden="1">
      <c r="A57" s="18"/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48.75" hidden="1">
      <c r="A58" s="126" t="s">
        <v>218</v>
      </c>
      <c r="B58" s="733" t="s">
        <v>0</v>
      </c>
      <c r="C58" s="734"/>
      <c r="D58" s="120" t="s">
        <v>234</v>
      </c>
      <c r="E58" s="120" t="s">
        <v>235</v>
      </c>
      <c r="F58" s="120" t="s">
        <v>484</v>
      </c>
      <c r="G58" s="120" t="s">
        <v>303</v>
      </c>
      <c r="H58" s="120" t="s">
        <v>304</v>
      </c>
      <c r="I58" s="113"/>
      <c r="J58" s="113"/>
      <c r="K58" s="113"/>
    </row>
    <row r="59" spans="1:11" hidden="1">
      <c r="A59" s="122">
        <v>1</v>
      </c>
      <c r="B59" s="725">
        <v>2</v>
      </c>
      <c r="C59" s="726"/>
      <c r="D59" s="122">
        <v>3</v>
      </c>
      <c r="E59" s="122">
        <v>4</v>
      </c>
      <c r="F59" s="122">
        <v>5</v>
      </c>
      <c r="G59" s="122">
        <v>6</v>
      </c>
      <c r="H59" s="122">
        <v>7</v>
      </c>
      <c r="I59" s="113"/>
      <c r="J59" s="113"/>
      <c r="K59" s="113"/>
    </row>
    <row r="60" spans="1:11" hidden="1">
      <c r="A60" s="124">
        <v>1</v>
      </c>
      <c r="B60" s="725" t="s">
        <v>310</v>
      </c>
      <c r="C60" s="726"/>
      <c r="D60" s="125"/>
      <c r="E60" s="125"/>
      <c r="F60" s="169">
        <f>D60*E60</f>
        <v>0</v>
      </c>
      <c r="G60" s="169"/>
      <c r="H60" s="169"/>
      <c r="I60" s="113"/>
      <c r="J60" s="113"/>
      <c r="K60" s="113"/>
    </row>
    <row r="61" spans="1:11" hidden="1">
      <c r="A61" s="124">
        <v>2</v>
      </c>
      <c r="B61" s="725" t="s">
        <v>352</v>
      </c>
      <c r="C61" s="726"/>
      <c r="D61" s="125"/>
      <c r="E61" s="125"/>
      <c r="F61" s="169">
        <f t="shared" ref="F61:F65" si="5">D61*E61</f>
        <v>0</v>
      </c>
      <c r="G61" s="169"/>
      <c r="H61" s="169"/>
      <c r="I61" s="113"/>
      <c r="J61" s="113"/>
      <c r="K61" s="113"/>
    </row>
    <row r="62" spans="1:11" hidden="1">
      <c r="A62" s="124"/>
      <c r="B62" s="725"/>
      <c r="C62" s="726"/>
      <c r="D62" s="125"/>
      <c r="E62" s="125"/>
      <c r="F62" s="169">
        <f t="shared" si="5"/>
        <v>0</v>
      </c>
      <c r="G62" s="169"/>
      <c r="H62" s="169"/>
      <c r="I62" s="113"/>
      <c r="J62" s="113"/>
      <c r="K62" s="113"/>
    </row>
    <row r="63" spans="1:11" hidden="1">
      <c r="A63" s="124"/>
      <c r="B63" s="725"/>
      <c r="C63" s="726"/>
      <c r="D63" s="125"/>
      <c r="E63" s="125"/>
      <c r="F63" s="169">
        <f t="shared" si="5"/>
        <v>0</v>
      </c>
      <c r="G63" s="169"/>
      <c r="H63" s="169"/>
      <c r="I63" s="113"/>
      <c r="J63" s="113"/>
      <c r="K63" s="113"/>
    </row>
    <row r="64" spans="1:11" hidden="1">
      <c r="A64" s="124"/>
      <c r="B64" s="725"/>
      <c r="C64" s="726"/>
      <c r="D64" s="125"/>
      <c r="E64" s="125"/>
      <c r="F64" s="169">
        <f t="shared" si="5"/>
        <v>0</v>
      </c>
      <c r="G64" s="169"/>
      <c r="H64" s="169"/>
      <c r="I64" s="113"/>
      <c r="J64" s="113"/>
      <c r="K64" s="113"/>
    </row>
    <row r="65" spans="1:11" hidden="1">
      <c r="A65" s="124"/>
      <c r="B65" s="725"/>
      <c r="C65" s="726"/>
      <c r="D65" s="125"/>
      <c r="E65" s="125"/>
      <c r="F65" s="169">
        <f t="shared" si="5"/>
        <v>0</v>
      </c>
      <c r="G65" s="169"/>
      <c r="H65" s="169"/>
      <c r="I65" s="113"/>
      <c r="J65" s="113"/>
      <c r="K65" s="113"/>
    </row>
    <row r="66" spans="1:11" hidden="1">
      <c r="A66" s="166"/>
      <c r="B66" s="727" t="s">
        <v>216</v>
      </c>
      <c r="C66" s="728"/>
      <c r="D66" s="167"/>
      <c r="E66" s="167"/>
      <c r="F66" s="170">
        <f>SUM(F60:F65)</f>
        <v>0</v>
      </c>
      <c r="G66" s="170">
        <f t="shared" ref="G66:H66" si="6">SUM(G60:G65)</f>
        <v>0</v>
      </c>
      <c r="H66" s="170">
        <f t="shared" si="6"/>
        <v>0</v>
      </c>
      <c r="I66" s="171"/>
      <c r="J66" s="171"/>
      <c r="K66" s="171"/>
    </row>
    <row r="67" spans="1:11" hidden="1">
      <c r="A67" s="18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11" hidden="1">
      <c r="A68" s="67" t="s">
        <v>236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</row>
    <row r="69" spans="1:11" hidden="1">
      <c r="A69" s="18"/>
      <c r="B69" s="113"/>
      <c r="C69" s="113"/>
      <c r="D69" s="113"/>
      <c r="E69" s="113"/>
      <c r="F69" s="113"/>
      <c r="G69" s="113"/>
      <c r="H69" s="113"/>
      <c r="I69" s="113"/>
      <c r="J69" s="113"/>
      <c r="K69" s="113"/>
    </row>
    <row r="70" spans="1:11" ht="72.75" hidden="1">
      <c r="A70" s="126" t="s">
        <v>218</v>
      </c>
      <c r="B70" s="733" t="s">
        <v>237</v>
      </c>
      <c r="C70" s="734"/>
      <c r="D70" s="120" t="s">
        <v>238</v>
      </c>
      <c r="E70" s="120" t="s">
        <v>239</v>
      </c>
      <c r="F70" s="120" t="s">
        <v>485</v>
      </c>
      <c r="G70" s="120" t="s">
        <v>486</v>
      </c>
      <c r="H70" s="120" t="s">
        <v>487</v>
      </c>
      <c r="I70" s="113"/>
      <c r="J70" s="113"/>
      <c r="K70" s="113"/>
    </row>
    <row r="71" spans="1:11" hidden="1">
      <c r="A71" s="122">
        <v>1</v>
      </c>
      <c r="B71" s="725">
        <v>2</v>
      </c>
      <c r="C71" s="726"/>
      <c r="D71" s="122">
        <v>3</v>
      </c>
      <c r="E71" s="122">
        <v>4</v>
      </c>
      <c r="F71" s="122">
        <v>5</v>
      </c>
      <c r="G71" s="122">
        <v>6</v>
      </c>
      <c r="H71" s="122">
        <v>7</v>
      </c>
      <c r="I71" s="113"/>
      <c r="J71" s="113"/>
      <c r="K71" s="113"/>
    </row>
    <row r="72" spans="1:11" hidden="1">
      <c r="A72" s="124">
        <v>1</v>
      </c>
      <c r="B72" s="756" t="s">
        <v>311</v>
      </c>
      <c r="C72" s="757"/>
      <c r="D72" s="125"/>
      <c r="E72" s="174"/>
      <c r="F72" s="169"/>
      <c r="G72" s="169"/>
      <c r="H72" s="169"/>
      <c r="I72" s="113"/>
      <c r="J72" s="113"/>
      <c r="K72" s="113"/>
    </row>
    <row r="73" spans="1:11" hidden="1">
      <c r="A73" s="124">
        <v>2</v>
      </c>
      <c r="B73" s="756" t="s">
        <v>312</v>
      </c>
      <c r="C73" s="757"/>
      <c r="D73" s="125"/>
      <c r="E73" s="174"/>
      <c r="F73" s="169">
        <f>ROUND(D73*E73,0)</f>
        <v>0</v>
      </c>
      <c r="G73" s="169">
        <f>F73</f>
        <v>0</v>
      </c>
      <c r="H73" s="169">
        <f>G73</f>
        <v>0</v>
      </c>
      <c r="I73" s="113"/>
      <c r="J73" s="113"/>
      <c r="K73" s="113"/>
    </row>
    <row r="74" spans="1:11" hidden="1">
      <c r="A74" s="124"/>
      <c r="B74" s="725"/>
      <c r="C74" s="726"/>
      <c r="D74" s="125"/>
      <c r="E74" s="125"/>
      <c r="F74" s="169"/>
      <c r="G74" s="169"/>
      <c r="H74" s="169"/>
      <c r="I74" s="113"/>
      <c r="J74" s="113"/>
      <c r="K74" s="113"/>
    </row>
    <row r="75" spans="1:11" hidden="1">
      <c r="A75" s="124"/>
      <c r="B75" s="725"/>
      <c r="C75" s="726"/>
      <c r="D75" s="125"/>
      <c r="E75" s="125"/>
      <c r="F75" s="169"/>
      <c r="G75" s="169"/>
      <c r="H75" s="169"/>
      <c r="I75" s="113"/>
      <c r="J75" s="113"/>
      <c r="K75" s="113"/>
    </row>
    <row r="76" spans="1:11" hidden="1">
      <c r="A76" s="124"/>
      <c r="B76" s="725"/>
      <c r="C76" s="726"/>
      <c r="D76" s="125"/>
      <c r="E76" s="125"/>
      <c r="F76" s="169"/>
      <c r="G76" s="169"/>
      <c r="H76" s="169"/>
      <c r="I76" s="113"/>
      <c r="J76" s="113"/>
      <c r="K76" s="113"/>
    </row>
    <row r="77" spans="1:11" hidden="1">
      <c r="A77" s="124"/>
      <c r="B77" s="725"/>
      <c r="C77" s="726"/>
      <c r="D77" s="125"/>
      <c r="E77" s="125"/>
      <c r="F77" s="169"/>
      <c r="G77" s="169"/>
      <c r="H77" s="169"/>
      <c r="I77" s="113"/>
      <c r="J77" s="113"/>
      <c r="K77" s="113"/>
    </row>
    <row r="78" spans="1:11" hidden="1">
      <c r="A78" s="166"/>
      <c r="B78" s="727" t="s">
        <v>216</v>
      </c>
      <c r="C78" s="728"/>
      <c r="D78" s="167"/>
      <c r="E78" s="167"/>
      <c r="F78" s="170">
        <f>SUM(F72:F77)</f>
        <v>0</v>
      </c>
      <c r="G78" s="170">
        <f t="shared" ref="G78:H78" si="7">SUM(G72:G77)</f>
        <v>0</v>
      </c>
      <c r="H78" s="170">
        <f t="shared" si="7"/>
        <v>0</v>
      </c>
      <c r="I78" s="171"/>
      <c r="J78" s="171"/>
      <c r="K78" s="171"/>
    </row>
    <row r="79" spans="1:11" hidden="1">
      <c r="A79" s="18"/>
      <c r="B79" s="113"/>
      <c r="C79" s="113"/>
      <c r="D79" s="113"/>
      <c r="E79" s="113"/>
      <c r="F79" s="113"/>
      <c r="G79" s="113"/>
      <c r="H79" s="113"/>
      <c r="I79" s="113"/>
      <c r="J79" s="113"/>
      <c r="K79" s="113"/>
    </row>
    <row r="80" spans="1:11" hidden="1">
      <c r="A80" s="758" t="s">
        <v>240</v>
      </c>
      <c r="B80" s="758"/>
      <c r="C80" s="758"/>
      <c r="D80" s="758"/>
      <c r="E80" s="758"/>
      <c r="F80" s="758"/>
      <c r="G80" s="758"/>
      <c r="H80" s="758"/>
      <c r="I80" s="113"/>
      <c r="J80" s="113"/>
      <c r="K80" s="113"/>
    </row>
    <row r="81" spans="1:11" hidden="1">
      <c r="A81" s="18"/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  <row r="82" spans="1:11" ht="48.75" hidden="1">
      <c r="A82" s="126" t="s">
        <v>218</v>
      </c>
      <c r="B82" s="733" t="s">
        <v>0</v>
      </c>
      <c r="C82" s="734"/>
      <c r="D82" s="120" t="s">
        <v>241</v>
      </c>
      <c r="E82" s="120" t="s">
        <v>235</v>
      </c>
      <c r="F82" s="120" t="s">
        <v>242</v>
      </c>
      <c r="G82" s="120" t="s">
        <v>242</v>
      </c>
      <c r="H82" s="120" t="s">
        <v>242</v>
      </c>
      <c r="I82" s="113"/>
      <c r="J82" s="113"/>
      <c r="K82" s="113"/>
    </row>
    <row r="83" spans="1:11" hidden="1">
      <c r="A83" s="122">
        <v>1</v>
      </c>
      <c r="B83" s="725">
        <v>2</v>
      </c>
      <c r="C83" s="726"/>
      <c r="D83" s="122">
        <v>3</v>
      </c>
      <c r="E83" s="122">
        <v>4</v>
      </c>
      <c r="F83" s="122">
        <v>5</v>
      </c>
      <c r="G83" s="122">
        <v>6</v>
      </c>
      <c r="H83" s="122">
        <v>7</v>
      </c>
      <c r="I83" s="113"/>
      <c r="J83" s="113"/>
      <c r="K83" s="113"/>
    </row>
    <row r="84" spans="1:11" hidden="1">
      <c r="A84" s="124"/>
      <c r="B84" s="725"/>
      <c r="C84" s="726"/>
      <c r="D84" s="125"/>
      <c r="E84" s="125"/>
      <c r="F84" s="125"/>
      <c r="G84" s="125"/>
      <c r="H84" s="125"/>
      <c r="I84" s="113"/>
      <c r="J84" s="113"/>
      <c r="K84" s="113"/>
    </row>
    <row r="85" spans="1:11" hidden="1">
      <c r="A85" s="124"/>
      <c r="B85" s="725"/>
      <c r="C85" s="726"/>
      <c r="D85" s="125"/>
      <c r="E85" s="125"/>
      <c r="F85" s="125"/>
      <c r="G85" s="125"/>
      <c r="H85" s="125"/>
      <c r="I85" s="113"/>
      <c r="J85" s="113"/>
      <c r="K85" s="113"/>
    </row>
    <row r="86" spans="1:11" hidden="1">
      <c r="A86" s="124"/>
      <c r="B86" s="725"/>
      <c r="C86" s="726"/>
      <c r="D86" s="125"/>
      <c r="E86" s="125"/>
      <c r="F86" s="125"/>
      <c r="G86" s="125"/>
      <c r="H86" s="125"/>
      <c r="I86" s="113"/>
      <c r="J86" s="113"/>
      <c r="K86" s="113"/>
    </row>
    <row r="87" spans="1:11" hidden="1">
      <c r="A87" s="124"/>
      <c r="B87" s="725"/>
      <c r="C87" s="726"/>
      <c r="D87" s="125"/>
      <c r="E87" s="125"/>
      <c r="F87" s="125"/>
      <c r="G87" s="125"/>
      <c r="H87" s="125"/>
      <c r="I87" s="113"/>
      <c r="J87" s="113"/>
      <c r="K87" s="113"/>
    </row>
    <row r="88" spans="1:11" hidden="1">
      <c r="A88" s="124"/>
      <c r="B88" s="725"/>
      <c r="C88" s="726"/>
      <c r="D88" s="125"/>
      <c r="E88" s="125"/>
      <c r="F88" s="125"/>
      <c r="G88" s="125"/>
      <c r="H88" s="125"/>
      <c r="I88" s="113"/>
      <c r="J88" s="113"/>
      <c r="K88" s="113"/>
    </row>
    <row r="89" spans="1:11" hidden="1">
      <c r="A89" s="124"/>
      <c r="B89" s="725"/>
      <c r="C89" s="726"/>
      <c r="D89" s="125"/>
      <c r="E89" s="125"/>
      <c r="F89" s="125"/>
      <c r="G89" s="125"/>
      <c r="H89" s="125"/>
      <c r="I89" s="113"/>
      <c r="J89" s="113"/>
      <c r="K89" s="113"/>
    </row>
    <row r="90" spans="1:11" hidden="1">
      <c r="A90" s="124"/>
      <c r="B90" s="725" t="s">
        <v>216</v>
      </c>
      <c r="C90" s="726"/>
      <c r="D90" s="125"/>
      <c r="E90" s="125"/>
      <c r="F90" s="125"/>
      <c r="G90" s="125"/>
      <c r="H90" s="125"/>
      <c r="I90" s="113"/>
      <c r="J90" s="113"/>
      <c r="K90" s="113"/>
    </row>
    <row r="91" spans="1:11" hidden="1">
      <c r="A91" s="18"/>
      <c r="B91" s="113"/>
      <c r="C91" s="113"/>
      <c r="D91" s="113"/>
      <c r="E91" s="113"/>
      <c r="F91" s="113"/>
      <c r="G91" s="113"/>
      <c r="H91" s="113"/>
      <c r="I91" s="113"/>
      <c r="J91" s="113"/>
      <c r="K91" s="113"/>
    </row>
    <row r="92" spans="1:11" hidden="1">
      <c r="A92" s="67" t="s">
        <v>243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1:11" hidden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hidden="1">
      <c r="A94" s="18"/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spans="1:11" ht="36.75" hidden="1">
      <c r="A95" s="126" t="s">
        <v>218</v>
      </c>
      <c r="B95" s="733" t="s">
        <v>313</v>
      </c>
      <c r="C95" s="734"/>
      <c r="D95" s="120" t="s">
        <v>245</v>
      </c>
      <c r="E95" s="120" t="s">
        <v>246</v>
      </c>
      <c r="F95" s="120" t="s">
        <v>247</v>
      </c>
      <c r="G95" s="120" t="s">
        <v>484</v>
      </c>
      <c r="H95" s="120" t="s">
        <v>303</v>
      </c>
      <c r="I95" s="120" t="s">
        <v>304</v>
      </c>
      <c r="J95" s="113"/>
      <c r="K95" s="113"/>
    </row>
    <row r="96" spans="1:11" hidden="1">
      <c r="A96" s="122">
        <v>1</v>
      </c>
      <c r="B96" s="725">
        <v>2</v>
      </c>
      <c r="C96" s="726"/>
      <c r="D96" s="122">
        <v>3</v>
      </c>
      <c r="E96" s="122">
        <v>4</v>
      </c>
      <c r="F96" s="122">
        <v>5</v>
      </c>
      <c r="G96" s="122">
        <v>6</v>
      </c>
      <c r="H96" s="122">
        <v>7</v>
      </c>
      <c r="I96" s="122">
        <v>8</v>
      </c>
      <c r="J96" s="113"/>
      <c r="K96" s="113"/>
    </row>
    <row r="97" spans="1:11" hidden="1">
      <c r="A97" s="124"/>
      <c r="B97" s="756" t="s">
        <v>488</v>
      </c>
      <c r="C97" s="757"/>
      <c r="D97" s="125"/>
      <c r="E97" s="125"/>
      <c r="F97" s="125"/>
      <c r="G97" s="169"/>
      <c r="H97" s="169"/>
      <c r="I97" s="169"/>
      <c r="J97" s="113"/>
      <c r="K97" s="113"/>
    </row>
    <row r="98" spans="1:11" hidden="1">
      <c r="A98" s="124"/>
      <c r="B98" s="756" t="s">
        <v>314</v>
      </c>
      <c r="C98" s="757"/>
      <c r="D98" s="125"/>
      <c r="E98" s="125"/>
      <c r="F98" s="125"/>
      <c r="G98" s="169"/>
      <c r="H98" s="169"/>
      <c r="I98" s="169"/>
      <c r="J98" s="113"/>
      <c r="K98" s="113"/>
    </row>
    <row r="99" spans="1:11" hidden="1">
      <c r="A99" s="124"/>
      <c r="B99" s="319" t="s">
        <v>315</v>
      </c>
      <c r="C99" s="320"/>
      <c r="D99" s="125"/>
      <c r="E99" s="125"/>
      <c r="F99" s="125"/>
      <c r="G99" s="169"/>
      <c r="H99" s="169"/>
      <c r="I99" s="169"/>
      <c r="J99" s="113"/>
      <c r="K99" s="113"/>
    </row>
    <row r="100" spans="1:11" hidden="1">
      <c r="A100" s="124"/>
      <c r="B100" s="319" t="s">
        <v>316</v>
      </c>
      <c r="C100" s="320"/>
      <c r="D100" s="125"/>
      <c r="E100" s="125"/>
      <c r="F100" s="125"/>
      <c r="G100" s="169"/>
      <c r="H100" s="169"/>
      <c r="I100" s="169"/>
      <c r="J100" s="113"/>
      <c r="K100" s="113"/>
    </row>
    <row r="101" spans="1:11" hidden="1">
      <c r="A101" s="124"/>
      <c r="B101" s="725"/>
      <c r="C101" s="726"/>
      <c r="D101" s="125"/>
      <c r="E101" s="125"/>
      <c r="F101" s="125"/>
      <c r="G101" s="169"/>
      <c r="H101" s="169"/>
      <c r="I101" s="169"/>
      <c r="J101" s="113"/>
      <c r="K101" s="113"/>
    </row>
    <row r="102" spans="1:11" hidden="1">
      <c r="A102" s="124"/>
      <c r="B102" s="725"/>
      <c r="C102" s="726"/>
      <c r="D102" s="125"/>
      <c r="E102" s="125"/>
      <c r="F102" s="125"/>
      <c r="G102" s="169"/>
      <c r="H102" s="169"/>
      <c r="I102" s="169"/>
      <c r="J102" s="113"/>
      <c r="K102" s="113"/>
    </row>
    <row r="103" spans="1:11" hidden="1">
      <c r="A103" s="166"/>
      <c r="B103" s="727" t="s">
        <v>216</v>
      </c>
      <c r="C103" s="728"/>
      <c r="D103" s="167"/>
      <c r="E103" s="167"/>
      <c r="F103" s="167"/>
      <c r="G103" s="170">
        <f>ROUND(SUM(G97:G102),0)</f>
        <v>0</v>
      </c>
      <c r="H103" s="170">
        <f t="shared" ref="H103:I103" si="8">ROUND(SUM(H97:H102),0)</f>
        <v>0</v>
      </c>
      <c r="I103" s="170">
        <f t="shared" si="8"/>
        <v>0</v>
      </c>
      <c r="J103" s="171"/>
      <c r="K103" s="171"/>
    </row>
    <row r="104" spans="1:11" hidden="1">
      <c r="A104" s="18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1:11" hidden="1">
      <c r="A105" s="67" t="s">
        <v>248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1:11" hidden="1">
      <c r="A106" s="18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1:11" ht="48.75" hidden="1">
      <c r="A107" s="126" t="s">
        <v>218</v>
      </c>
      <c r="B107" s="733" t="s">
        <v>237</v>
      </c>
      <c r="C107" s="734"/>
      <c r="D107" s="120" t="s">
        <v>249</v>
      </c>
      <c r="E107" s="120" t="s">
        <v>250</v>
      </c>
      <c r="F107" s="120" t="s">
        <v>484</v>
      </c>
      <c r="G107" s="120" t="s">
        <v>303</v>
      </c>
      <c r="H107" s="120" t="s">
        <v>304</v>
      </c>
      <c r="I107" s="113"/>
      <c r="J107" s="113"/>
      <c r="K107" s="113"/>
    </row>
    <row r="108" spans="1:11" hidden="1">
      <c r="A108" s="122">
        <v>1</v>
      </c>
      <c r="B108" s="725">
        <v>2</v>
      </c>
      <c r="C108" s="726"/>
      <c r="D108" s="122">
        <v>3</v>
      </c>
      <c r="E108" s="122">
        <v>4</v>
      </c>
      <c r="F108" s="122">
        <v>5</v>
      </c>
      <c r="G108" s="122">
        <v>6</v>
      </c>
      <c r="H108" s="122">
        <v>7</v>
      </c>
      <c r="I108" s="113"/>
      <c r="J108" s="113"/>
      <c r="K108" s="113"/>
    </row>
    <row r="109" spans="1:11" hidden="1">
      <c r="A109" s="124">
        <v>1</v>
      </c>
      <c r="B109" s="725"/>
      <c r="C109" s="726"/>
      <c r="D109" s="125"/>
      <c r="E109" s="125"/>
      <c r="F109" s="125">
        <f>D109*E109</f>
        <v>0</v>
      </c>
      <c r="G109" s="125"/>
      <c r="H109" s="125"/>
      <c r="I109" s="113"/>
      <c r="J109" s="113"/>
      <c r="K109" s="113"/>
    </row>
    <row r="110" spans="1:11" hidden="1">
      <c r="A110" s="124"/>
      <c r="B110" s="725"/>
      <c r="C110" s="726"/>
      <c r="D110" s="125"/>
      <c r="E110" s="125"/>
      <c r="F110" s="125">
        <f t="shared" ref="F110:F114" si="9">D110*E110</f>
        <v>0</v>
      </c>
      <c r="G110" s="125"/>
      <c r="H110" s="125"/>
      <c r="I110" s="113"/>
      <c r="J110" s="113"/>
      <c r="K110" s="113"/>
    </row>
    <row r="111" spans="1:11" hidden="1">
      <c r="A111" s="124"/>
      <c r="B111" s="725"/>
      <c r="C111" s="726"/>
      <c r="D111" s="125"/>
      <c r="E111" s="125"/>
      <c r="F111" s="125">
        <f t="shared" si="9"/>
        <v>0</v>
      </c>
      <c r="G111" s="125"/>
      <c r="H111" s="125"/>
      <c r="I111" s="113"/>
      <c r="J111" s="113"/>
      <c r="K111" s="113"/>
    </row>
    <row r="112" spans="1:11" hidden="1">
      <c r="A112" s="124"/>
      <c r="B112" s="725"/>
      <c r="C112" s="726"/>
      <c r="D112" s="125"/>
      <c r="E112" s="125"/>
      <c r="F112" s="125">
        <f t="shared" si="9"/>
        <v>0</v>
      </c>
      <c r="G112" s="125"/>
      <c r="H112" s="125"/>
      <c r="I112" s="113"/>
      <c r="J112" s="113"/>
      <c r="K112" s="113"/>
    </row>
    <row r="113" spans="1:11" hidden="1">
      <c r="A113" s="124"/>
      <c r="B113" s="725"/>
      <c r="C113" s="726"/>
      <c r="D113" s="125"/>
      <c r="E113" s="125"/>
      <c r="F113" s="125">
        <f t="shared" si="9"/>
        <v>0</v>
      </c>
      <c r="G113" s="125"/>
      <c r="H113" s="125"/>
      <c r="I113" s="113"/>
      <c r="J113" s="113"/>
      <c r="K113" s="113"/>
    </row>
    <row r="114" spans="1:11" hidden="1">
      <c r="A114" s="124"/>
      <c r="B114" s="725"/>
      <c r="C114" s="726"/>
      <c r="D114" s="125"/>
      <c r="E114" s="125"/>
      <c r="F114" s="125">
        <f t="shared" si="9"/>
        <v>0</v>
      </c>
      <c r="G114" s="125"/>
      <c r="H114" s="125"/>
      <c r="I114" s="113"/>
      <c r="J114" s="113"/>
      <c r="K114" s="113"/>
    </row>
    <row r="115" spans="1:11" hidden="1">
      <c r="A115" s="166"/>
      <c r="B115" s="727" t="s">
        <v>216</v>
      </c>
      <c r="C115" s="728"/>
      <c r="D115" s="167"/>
      <c r="E115" s="167"/>
      <c r="F115" s="167">
        <f>SUM(F109:F114)</f>
        <v>0</v>
      </c>
      <c r="G115" s="167">
        <f t="shared" ref="G115:H115" si="10">SUM(G109:G114)</f>
        <v>0</v>
      </c>
      <c r="H115" s="167">
        <f t="shared" si="10"/>
        <v>0</v>
      </c>
      <c r="I115" s="171"/>
      <c r="J115" s="171"/>
      <c r="K115" s="171"/>
    </row>
    <row r="116" spans="1:11" hidden="1">
      <c r="A116" s="18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hidden="1">
      <c r="A117" s="67" t="s">
        <v>251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idden="1">
      <c r="A118" s="18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1:11" ht="48.75" hidden="1">
      <c r="A119" s="126" t="s">
        <v>218</v>
      </c>
      <c r="B119" s="733" t="s">
        <v>0</v>
      </c>
      <c r="C119" s="734"/>
      <c r="D119" s="120" t="s">
        <v>252</v>
      </c>
      <c r="E119" s="120" t="s">
        <v>253</v>
      </c>
      <c r="F119" s="120" t="s">
        <v>254</v>
      </c>
      <c r="G119" s="120" t="s">
        <v>484</v>
      </c>
      <c r="H119" s="120" t="s">
        <v>303</v>
      </c>
      <c r="I119" s="120" t="s">
        <v>304</v>
      </c>
      <c r="J119" s="113"/>
      <c r="K119" s="113"/>
    </row>
    <row r="120" spans="1:11" hidden="1">
      <c r="A120" s="122">
        <v>1</v>
      </c>
      <c r="B120" s="725">
        <v>2</v>
      </c>
      <c r="C120" s="726"/>
      <c r="D120" s="122">
        <v>3</v>
      </c>
      <c r="E120" s="122">
        <v>4</v>
      </c>
      <c r="F120" s="122">
        <v>5</v>
      </c>
      <c r="G120" s="122">
        <v>6</v>
      </c>
      <c r="H120" s="122">
        <v>7</v>
      </c>
      <c r="I120" s="122">
        <v>8</v>
      </c>
      <c r="J120" s="113"/>
      <c r="K120" s="113"/>
    </row>
    <row r="121" spans="1:11" hidden="1">
      <c r="A121" s="124">
        <v>1</v>
      </c>
      <c r="B121" s="750"/>
      <c r="C121" s="751"/>
      <c r="D121" s="125"/>
      <c r="E121" s="125"/>
      <c r="F121" s="125"/>
      <c r="G121" s="343"/>
      <c r="H121" s="343"/>
      <c r="I121" s="343"/>
      <c r="J121" s="113"/>
      <c r="K121" s="113"/>
    </row>
    <row r="122" spans="1:11" hidden="1">
      <c r="A122" s="124"/>
      <c r="B122" s="748"/>
      <c r="C122" s="749"/>
      <c r="D122" s="125"/>
      <c r="E122" s="125"/>
      <c r="F122" s="125"/>
      <c r="G122" s="343"/>
      <c r="H122" s="343"/>
      <c r="I122" s="343"/>
      <c r="J122" s="113"/>
      <c r="K122" s="113"/>
    </row>
    <row r="123" spans="1:11" hidden="1">
      <c r="A123" s="124">
        <v>2</v>
      </c>
      <c r="B123" s="750"/>
      <c r="C123" s="751"/>
      <c r="D123" s="125"/>
      <c r="E123" s="346"/>
      <c r="F123" s="125"/>
      <c r="G123" s="343"/>
      <c r="H123" s="343"/>
      <c r="I123" s="343"/>
      <c r="J123" s="113"/>
      <c r="K123" s="113"/>
    </row>
    <row r="124" spans="1:11" hidden="1">
      <c r="A124" s="124"/>
      <c r="B124" s="748"/>
      <c r="C124" s="772"/>
      <c r="D124" s="773"/>
      <c r="E124" s="773"/>
      <c r="F124" s="774"/>
      <c r="G124" s="343"/>
      <c r="H124" s="343"/>
      <c r="I124" s="343"/>
      <c r="J124" s="113"/>
      <c r="K124" s="113"/>
    </row>
    <row r="125" spans="1:11" hidden="1">
      <c r="A125" s="124">
        <v>3</v>
      </c>
      <c r="B125" s="750"/>
      <c r="C125" s="751"/>
      <c r="D125" s="125"/>
      <c r="E125" s="125"/>
      <c r="F125" s="125"/>
      <c r="G125" s="343"/>
      <c r="H125" s="343"/>
      <c r="I125" s="343"/>
      <c r="J125" s="113"/>
      <c r="K125" s="113"/>
    </row>
    <row r="126" spans="1:11" hidden="1">
      <c r="A126" s="124"/>
      <c r="B126" s="363"/>
      <c r="C126" s="364"/>
      <c r="D126" s="125"/>
      <c r="E126" s="125"/>
      <c r="F126" s="125"/>
      <c r="G126" s="343"/>
      <c r="H126" s="343"/>
      <c r="I126" s="343"/>
      <c r="J126" s="113"/>
      <c r="K126" s="113"/>
    </row>
    <row r="127" spans="1:11" hidden="1">
      <c r="A127" s="124">
        <v>4</v>
      </c>
      <c r="B127" s="775"/>
      <c r="C127" s="751"/>
      <c r="D127" s="125"/>
      <c r="E127" s="125"/>
      <c r="F127" s="125"/>
      <c r="G127" s="343"/>
      <c r="H127" s="343"/>
      <c r="I127" s="343"/>
      <c r="J127" s="113"/>
      <c r="K127" s="113"/>
    </row>
    <row r="128" spans="1:11" hidden="1">
      <c r="A128" s="124"/>
      <c r="B128" s="365"/>
      <c r="C128" s="366"/>
      <c r="D128" s="125"/>
      <c r="E128" s="125"/>
      <c r="F128" s="125"/>
      <c r="G128" s="343"/>
      <c r="H128" s="343"/>
      <c r="I128" s="343"/>
      <c r="J128" s="113"/>
      <c r="K128" s="113"/>
    </row>
    <row r="129" spans="1:11" hidden="1">
      <c r="A129" s="166"/>
      <c r="B129" s="727"/>
      <c r="C129" s="728"/>
      <c r="D129" s="167"/>
      <c r="E129" s="167"/>
      <c r="F129" s="167"/>
      <c r="G129" s="367"/>
      <c r="H129" s="367"/>
      <c r="I129" s="367"/>
      <c r="J129" s="171"/>
      <c r="K129" s="171"/>
    </row>
    <row r="130" spans="1:11" hidden="1">
      <c r="A130" s="18"/>
      <c r="B130" s="113"/>
      <c r="C130" s="113"/>
      <c r="D130" s="113"/>
      <c r="E130" s="113"/>
      <c r="F130" s="113"/>
      <c r="G130" s="368"/>
      <c r="H130" s="368"/>
      <c r="I130" s="368"/>
      <c r="J130" s="113"/>
      <c r="K130" s="113"/>
    </row>
    <row r="131" spans="1:11" hidden="1">
      <c r="A131" s="67" t="s">
        <v>255</v>
      </c>
      <c r="B131" s="117"/>
      <c r="C131" s="117"/>
      <c r="D131" s="117"/>
      <c r="E131" s="117"/>
      <c r="F131" s="117"/>
      <c r="G131" s="362"/>
      <c r="H131" s="362"/>
      <c r="I131" s="362"/>
      <c r="J131" s="117"/>
      <c r="K131" s="117"/>
    </row>
    <row r="132" spans="1:11" hidden="1">
      <c r="A132" s="18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1:11" ht="48.75" hidden="1">
      <c r="A133" s="126" t="s">
        <v>218</v>
      </c>
      <c r="B133" s="733" t="s">
        <v>0</v>
      </c>
      <c r="C133" s="734"/>
      <c r="D133" s="120" t="s">
        <v>256</v>
      </c>
      <c r="E133" s="120" t="s">
        <v>257</v>
      </c>
      <c r="F133" s="120" t="s">
        <v>258</v>
      </c>
      <c r="G133" s="120" t="s">
        <v>258</v>
      </c>
      <c r="H133" s="120" t="s">
        <v>258</v>
      </c>
      <c r="I133" s="113"/>
      <c r="J133" s="113"/>
      <c r="K133" s="113"/>
    </row>
    <row r="134" spans="1:11" hidden="1">
      <c r="A134" s="122">
        <v>1</v>
      </c>
      <c r="B134" s="725">
        <v>2</v>
      </c>
      <c r="C134" s="726"/>
      <c r="D134" s="122">
        <v>3</v>
      </c>
      <c r="E134" s="122">
        <v>4</v>
      </c>
      <c r="F134" s="122">
        <v>5</v>
      </c>
      <c r="G134" s="122">
        <v>6</v>
      </c>
      <c r="H134" s="122">
        <v>7</v>
      </c>
      <c r="I134" s="113"/>
      <c r="J134" s="113"/>
      <c r="K134" s="113"/>
    </row>
    <row r="135" spans="1:11" hidden="1">
      <c r="A135" s="124"/>
      <c r="B135" s="725"/>
      <c r="C135" s="726"/>
      <c r="D135" s="125"/>
      <c r="E135" s="125"/>
      <c r="F135" s="125"/>
      <c r="G135" s="125"/>
      <c r="H135" s="125"/>
      <c r="I135" s="113"/>
      <c r="J135" s="113"/>
      <c r="K135" s="113"/>
    </row>
    <row r="136" spans="1:11" hidden="1">
      <c r="A136" s="124"/>
      <c r="B136" s="725"/>
      <c r="C136" s="726"/>
      <c r="D136" s="125"/>
      <c r="E136" s="125"/>
      <c r="F136" s="125"/>
      <c r="G136" s="125"/>
      <c r="H136" s="125"/>
      <c r="I136" s="113"/>
      <c r="J136" s="113"/>
      <c r="K136" s="113"/>
    </row>
    <row r="137" spans="1:11" hidden="1">
      <c r="A137" s="124"/>
      <c r="B137" s="725"/>
      <c r="C137" s="726"/>
      <c r="D137" s="125"/>
      <c r="E137" s="125"/>
      <c r="F137" s="125"/>
      <c r="G137" s="125"/>
      <c r="H137" s="125"/>
      <c r="I137" s="113"/>
      <c r="J137" s="113"/>
      <c r="K137" s="113"/>
    </row>
    <row r="138" spans="1:11" hidden="1">
      <c r="A138" s="124"/>
      <c r="B138" s="725"/>
      <c r="C138" s="726"/>
      <c r="D138" s="125"/>
      <c r="E138" s="125"/>
      <c r="F138" s="125"/>
      <c r="G138" s="125"/>
      <c r="H138" s="125"/>
      <c r="I138" s="113"/>
      <c r="J138" s="113"/>
      <c r="K138" s="113"/>
    </row>
    <row r="139" spans="1:11" hidden="1">
      <c r="A139" s="124"/>
      <c r="B139" s="725"/>
      <c r="C139" s="726"/>
      <c r="D139" s="125"/>
      <c r="E139" s="125"/>
      <c r="F139" s="125"/>
      <c r="G139" s="125"/>
      <c r="H139" s="125"/>
      <c r="I139" s="113"/>
      <c r="J139" s="113"/>
      <c r="K139" s="113"/>
    </row>
    <row r="140" spans="1:11" hidden="1">
      <c r="A140" s="124"/>
      <c r="B140" s="725"/>
      <c r="C140" s="726"/>
      <c r="D140" s="125"/>
      <c r="E140" s="125"/>
      <c r="F140" s="125"/>
      <c r="G140" s="125"/>
      <c r="H140" s="125"/>
      <c r="I140" s="113"/>
      <c r="J140" s="113"/>
      <c r="K140" s="113"/>
    </row>
    <row r="141" spans="1:11" hidden="1">
      <c r="A141" s="166"/>
      <c r="B141" s="727" t="s">
        <v>216</v>
      </c>
      <c r="C141" s="728"/>
      <c r="D141" s="167"/>
      <c r="E141" s="167"/>
      <c r="F141" s="167">
        <f>SUM(F135:F140)</f>
        <v>0</v>
      </c>
      <c r="G141" s="167">
        <f t="shared" ref="G141:H141" si="11">SUM(G135:G140)</f>
        <v>0</v>
      </c>
      <c r="H141" s="167">
        <f t="shared" si="11"/>
        <v>0</v>
      </c>
      <c r="I141" s="171"/>
      <c r="J141" s="171"/>
      <c r="K141" s="171"/>
    </row>
    <row r="142" spans="1:11" hidden="1">
      <c r="A142" s="18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1:11" hidden="1">
      <c r="A143" s="67" t="s">
        <v>259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1:11" hidden="1">
      <c r="A144" s="18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1:11" ht="36.75" hidden="1">
      <c r="A145" s="126" t="s">
        <v>218</v>
      </c>
      <c r="B145" s="733" t="s">
        <v>0</v>
      </c>
      <c r="C145" s="734"/>
      <c r="D145" s="120" t="s">
        <v>260</v>
      </c>
      <c r="E145" s="120" t="s">
        <v>261</v>
      </c>
      <c r="F145" s="120" t="s">
        <v>484</v>
      </c>
      <c r="G145" s="120" t="s">
        <v>303</v>
      </c>
      <c r="H145" s="120" t="s">
        <v>304</v>
      </c>
      <c r="I145" s="113"/>
      <c r="J145" s="113"/>
      <c r="K145" s="113"/>
    </row>
    <row r="146" spans="1:11" hidden="1">
      <c r="A146" s="122">
        <v>1</v>
      </c>
      <c r="B146" s="725">
        <v>2</v>
      </c>
      <c r="C146" s="726"/>
      <c r="D146" s="122">
        <v>3</v>
      </c>
      <c r="E146" s="122">
        <v>4</v>
      </c>
      <c r="F146" s="122">
        <v>5</v>
      </c>
      <c r="G146" s="122">
        <v>6</v>
      </c>
      <c r="H146" s="122">
        <v>7</v>
      </c>
      <c r="I146" s="113"/>
      <c r="J146" s="113"/>
      <c r="K146" s="113"/>
    </row>
    <row r="147" spans="1:11" hidden="1">
      <c r="A147" s="369">
        <v>1</v>
      </c>
      <c r="B147" s="744"/>
      <c r="C147" s="745"/>
      <c r="D147" s="125"/>
      <c r="E147" s="125"/>
      <c r="F147" s="125"/>
      <c r="G147" s="125"/>
      <c r="H147" s="125"/>
      <c r="I147" s="113"/>
      <c r="J147" s="113"/>
      <c r="K147" s="113"/>
    </row>
    <row r="148" spans="1:11" hidden="1">
      <c r="A148" s="124"/>
      <c r="B148" s="739"/>
      <c r="C148" s="740"/>
      <c r="D148" s="125"/>
      <c r="E148" s="125"/>
      <c r="F148" s="125"/>
      <c r="G148" s="125"/>
      <c r="H148" s="125"/>
      <c r="I148" s="113"/>
      <c r="J148" s="113"/>
      <c r="K148" s="113"/>
    </row>
    <row r="149" spans="1:11" hidden="1">
      <c r="A149" s="369">
        <v>2</v>
      </c>
      <c r="B149" s="744"/>
      <c r="C149" s="741"/>
      <c r="D149" s="125"/>
      <c r="E149" s="125"/>
      <c r="F149" s="125"/>
      <c r="G149" s="125"/>
      <c r="H149" s="125"/>
      <c r="I149" s="113"/>
      <c r="J149" s="113"/>
      <c r="K149" s="113"/>
    </row>
    <row r="150" spans="1:11" hidden="1">
      <c r="A150" s="124"/>
      <c r="B150" s="739"/>
      <c r="C150" s="740"/>
      <c r="D150" s="125"/>
      <c r="E150" s="125"/>
      <c r="F150" s="125"/>
      <c r="G150" s="125"/>
      <c r="H150" s="125"/>
      <c r="I150" s="113"/>
      <c r="J150" s="113"/>
      <c r="K150" s="113"/>
    </row>
    <row r="151" spans="1:11" hidden="1">
      <c r="A151" s="369">
        <v>3</v>
      </c>
      <c r="B151" s="744"/>
      <c r="C151" s="746"/>
      <c r="D151" s="125"/>
      <c r="E151" s="125"/>
      <c r="F151" s="125"/>
      <c r="G151" s="125"/>
      <c r="H151" s="125"/>
      <c r="I151" s="113"/>
      <c r="J151" s="113"/>
      <c r="K151" s="113"/>
    </row>
    <row r="152" spans="1:11" hidden="1">
      <c r="A152" s="124"/>
      <c r="B152" s="350"/>
      <c r="C152" s="351"/>
      <c r="D152" s="125"/>
      <c r="E152" s="125"/>
      <c r="F152" s="125"/>
      <c r="G152" s="125"/>
      <c r="H152" s="125"/>
      <c r="I152" s="113"/>
      <c r="J152" s="113"/>
      <c r="K152" s="113"/>
    </row>
    <row r="153" spans="1:11" hidden="1">
      <c r="A153" s="124"/>
      <c r="B153" s="350"/>
      <c r="C153" s="351"/>
      <c r="D153" s="125"/>
      <c r="E153" s="125"/>
      <c r="F153" s="125"/>
      <c r="G153" s="125"/>
      <c r="H153" s="125"/>
      <c r="I153" s="113"/>
      <c r="J153" s="113"/>
      <c r="K153" s="113"/>
    </row>
    <row r="154" spans="1:11" hidden="1">
      <c r="A154" s="369">
        <v>4</v>
      </c>
      <c r="B154" s="744"/>
      <c r="C154" s="746"/>
      <c r="D154" s="125"/>
      <c r="E154" s="125"/>
      <c r="F154" s="125"/>
      <c r="G154" s="125"/>
      <c r="H154" s="125"/>
      <c r="I154" s="113"/>
      <c r="J154" s="113"/>
      <c r="K154" s="113"/>
    </row>
    <row r="155" spans="1:11" hidden="1">
      <c r="A155" s="124"/>
      <c r="B155" s="350"/>
      <c r="C155" s="351"/>
      <c r="D155" s="125"/>
      <c r="E155" s="125"/>
      <c r="F155" s="125"/>
      <c r="G155" s="125"/>
      <c r="H155" s="125"/>
      <c r="I155" s="113"/>
      <c r="J155" s="113"/>
      <c r="K155" s="113"/>
    </row>
    <row r="156" spans="1:11" hidden="1">
      <c r="A156" s="369">
        <v>5</v>
      </c>
      <c r="B156" s="744"/>
      <c r="C156" s="746"/>
      <c r="D156" s="125"/>
      <c r="E156" s="125"/>
      <c r="F156" s="125"/>
      <c r="G156" s="125"/>
      <c r="H156" s="125"/>
      <c r="I156" s="113"/>
      <c r="J156" s="113"/>
      <c r="K156" s="113"/>
    </row>
    <row r="157" spans="1:11" hidden="1">
      <c r="A157" s="124"/>
      <c r="B157" s="350"/>
      <c r="C157" s="351"/>
      <c r="D157" s="125"/>
      <c r="E157" s="125"/>
      <c r="F157" s="125"/>
      <c r="G157" s="125"/>
      <c r="H157" s="125"/>
      <c r="I157" s="113"/>
      <c r="J157" s="113"/>
      <c r="K157" s="113"/>
    </row>
    <row r="158" spans="1:11" hidden="1">
      <c r="A158" s="369">
        <v>6</v>
      </c>
      <c r="B158" s="744"/>
      <c r="C158" s="746"/>
      <c r="D158" s="125"/>
      <c r="E158" s="125"/>
      <c r="F158" s="125"/>
      <c r="G158" s="125"/>
      <c r="H158" s="125"/>
      <c r="I158" s="113"/>
      <c r="J158" s="113"/>
      <c r="K158" s="113"/>
    </row>
    <row r="159" spans="1:11" hidden="1">
      <c r="A159" s="124"/>
      <c r="B159" s="350"/>
      <c r="C159" s="351"/>
      <c r="D159" s="125"/>
      <c r="E159" s="125"/>
      <c r="F159" s="125"/>
      <c r="G159" s="125"/>
      <c r="H159" s="125"/>
      <c r="I159" s="113"/>
      <c r="J159" s="113"/>
      <c r="K159" s="113"/>
    </row>
    <row r="160" spans="1:11" hidden="1">
      <c r="A160" s="124"/>
      <c r="B160" s="350"/>
      <c r="C160" s="351"/>
      <c r="D160" s="125"/>
      <c r="E160" s="125"/>
      <c r="F160" s="125"/>
      <c r="G160" s="125"/>
      <c r="H160" s="125"/>
      <c r="I160" s="113"/>
      <c r="J160" s="113"/>
      <c r="K160" s="113"/>
    </row>
    <row r="161" spans="1:11" hidden="1">
      <c r="A161" s="369">
        <v>7</v>
      </c>
      <c r="B161" s="744"/>
      <c r="C161" s="745"/>
      <c r="D161" s="125"/>
      <c r="E161" s="125"/>
      <c r="F161" s="125"/>
      <c r="G161" s="125"/>
      <c r="H161" s="125"/>
      <c r="I161" s="113"/>
      <c r="J161" s="113"/>
      <c r="K161" s="113"/>
    </row>
    <row r="162" spans="1:11" hidden="1">
      <c r="A162" s="124"/>
      <c r="B162" s="739"/>
      <c r="C162" s="740"/>
      <c r="D162" s="125"/>
      <c r="E162" s="125"/>
      <c r="F162" s="125"/>
      <c r="G162" s="125"/>
      <c r="H162" s="125"/>
      <c r="I162" s="113"/>
      <c r="J162" s="113"/>
      <c r="K162" s="113"/>
    </row>
    <row r="163" spans="1:11" hidden="1">
      <c r="A163" s="369">
        <v>8</v>
      </c>
      <c r="B163" s="744"/>
      <c r="C163" s="745"/>
      <c r="D163" s="125"/>
      <c r="E163" s="125"/>
      <c r="F163" s="125"/>
      <c r="G163" s="125"/>
      <c r="H163" s="125"/>
      <c r="I163" s="113"/>
      <c r="J163" s="113"/>
      <c r="K163" s="113"/>
    </row>
    <row r="164" spans="1:11" hidden="1">
      <c r="A164" s="124"/>
      <c r="B164" s="739"/>
      <c r="C164" s="740"/>
      <c r="D164" s="125"/>
      <c r="E164" s="125"/>
      <c r="F164" s="125"/>
      <c r="G164" s="125"/>
      <c r="H164" s="125"/>
      <c r="I164" s="113"/>
      <c r="J164" s="113"/>
      <c r="K164" s="113"/>
    </row>
    <row r="165" spans="1:11" hidden="1">
      <c r="A165" s="369">
        <v>9</v>
      </c>
      <c r="B165" s="744"/>
      <c r="C165" s="745"/>
      <c r="D165" s="125"/>
      <c r="E165" s="125"/>
      <c r="F165" s="125"/>
      <c r="G165" s="125"/>
      <c r="H165" s="125"/>
      <c r="I165" s="113"/>
      <c r="J165" s="113"/>
      <c r="K165" s="113"/>
    </row>
    <row r="166" spans="1:11" hidden="1">
      <c r="A166" s="124"/>
      <c r="B166" s="756"/>
      <c r="C166" s="757"/>
      <c r="D166" s="125"/>
      <c r="E166" s="125"/>
      <c r="F166" s="125"/>
      <c r="G166" s="125"/>
      <c r="H166" s="125"/>
      <c r="I166" s="113"/>
      <c r="J166" s="113"/>
      <c r="K166" s="113"/>
    </row>
    <row r="167" spans="1:11" hidden="1">
      <c r="A167" s="166"/>
      <c r="B167" s="727"/>
      <c r="C167" s="728"/>
      <c r="D167" s="167"/>
      <c r="E167" s="167"/>
      <c r="F167" s="167"/>
      <c r="G167" s="167"/>
      <c r="H167" s="167"/>
      <c r="I167" s="171"/>
      <c r="J167" s="171"/>
      <c r="K167" s="171"/>
    </row>
    <row r="168" spans="1:11" hidden="1">
      <c r="A168" s="18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1:11" hidden="1">
      <c r="A169" s="67" t="s">
        <v>262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idden="1">
      <c r="A170" s="18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1:11" ht="36.75" hidden="1">
      <c r="A171" s="126" t="s">
        <v>218</v>
      </c>
      <c r="B171" s="733" t="s">
        <v>237</v>
      </c>
      <c r="C171" s="734"/>
      <c r="D171" s="120" t="s">
        <v>260</v>
      </c>
      <c r="E171" s="120" t="s">
        <v>261</v>
      </c>
      <c r="F171" s="120" t="s">
        <v>484</v>
      </c>
      <c r="G171" s="120" t="s">
        <v>303</v>
      </c>
      <c r="H171" s="120" t="s">
        <v>304</v>
      </c>
      <c r="I171" s="113"/>
      <c r="J171" s="113"/>
      <c r="K171" s="113"/>
    </row>
    <row r="172" spans="1:11" hidden="1">
      <c r="A172" s="122">
        <v>1</v>
      </c>
      <c r="B172" s="725">
        <v>2</v>
      </c>
      <c r="C172" s="726"/>
      <c r="D172" s="122">
        <v>3</v>
      </c>
      <c r="E172" s="122">
        <v>4</v>
      </c>
      <c r="F172" s="122">
        <v>5</v>
      </c>
      <c r="G172" s="122">
        <v>6</v>
      </c>
      <c r="H172" s="122">
        <v>7</v>
      </c>
      <c r="I172" s="113"/>
      <c r="J172" s="113"/>
      <c r="K172" s="113"/>
    </row>
    <row r="173" spans="1:11" hidden="1">
      <c r="A173" s="370"/>
      <c r="B173" s="735"/>
      <c r="C173" s="736"/>
      <c r="D173" s="125"/>
      <c r="E173" s="125"/>
      <c r="F173" s="125"/>
      <c r="G173" s="125"/>
      <c r="H173" s="125"/>
      <c r="I173" s="113"/>
      <c r="J173" s="113"/>
      <c r="K173" s="113"/>
    </row>
    <row r="174" spans="1:11" hidden="1">
      <c r="A174" s="370"/>
      <c r="B174" s="735"/>
      <c r="C174" s="736"/>
      <c r="D174" s="125"/>
      <c r="E174" s="125"/>
      <c r="F174" s="125"/>
      <c r="G174" s="125"/>
      <c r="H174" s="125"/>
      <c r="I174" s="113"/>
      <c r="J174" s="113"/>
      <c r="K174" s="113"/>
    </row>
    <row r="175" spans="1:11" hidden="1">
      <c r="A175" s="371"/>
      <c r="B175" s="739"/>
      <c r="C175" s="740"/>
      <c r="D175" s="125"/>
      <c r="E175" s="125"/>
      <c r="F175" s="125"/>
      <c r="G175" s="125"/>
      <c r="H175" s="125"/>
      <c r="I175" s="113"/>
      <c r="J175" s="113"/>
      <c r="K175" s="113"/>
    </row>
    <row r="176" spans="1:11" hidden="1">
      <c r="A176" s="370"/>
      <c r="B176" s="735"/>
      <c r="C176" s="741"/>
      <c r="D176" s="125"/>
      <c r="E176" s="125"/>
      <c r="F176" s="125"/>
      <c r="G176" s="125"/>
      <c r="H176" s="125"/>
      <c r="I176" s="113"/>
      <c r="J176" s="113"/>
      <c r="K176" s="113"/>
    </row>
    <row r="177" spans="1:11" hidden="1">
      <c r="A177" s="371"/>
      <c r="B177" s="350"/>
      <c r="C177" s="351"/>
      <c r="D177" s="125"/>
      <c r="E177" s="125"/>
      <c r="F177" s="125"/>
      <c r="G177" s="125"/>
      <c r="H177" s="125"/>
      <c r="I177" s="113"/>
      <c r="J177" s="113"/>
      <c r="K177" s="113"/>
    </row>
    <row r="178" spans="1:11" hidden="1">
      <c r="A178" s="371"/>
      <c r="B178" s="350"/>
      <c r="C178" s="351"/>
      <c r="D178" s="125"/>
      <c r="E178" s="125"/>
      <c r="F178" s="125"/>
      <c r="G178" s="125"/>
      <c r="H178" s="125"/>
      <c r="I178" s="113"/>
      <c r="J178" s="113"/>
      <c r="K178" s="113"/>
    </row>
    <row r="179" spans="1:11" hidden="1">
      <c r="A179" s="371"/>
      <c r="B179" s="350"/>
      <c r="C179" s="351"/>
      <c r="D179" s="125"/>
      <c r="E179" s="125"/>
      <c r="F179" s="125"/>
      <c r="G179" s="125"/>
      <c r="H179" s="125"/>
      <c r="I179" s="113"/>
      <c r="J179" s="113"/>
      <c r="K179" s="113"/>
    </row>
    <row r="180" spans="1:11" hidden="1">
      <c r="A180" s="371"/>
      <c r="B180" s="350"/>
      <c r="C180" s="351"/>
      <c r="D180" s="125"/>
      <c r="E180" s="125"/>
      <c r="F180" s="125"/>
      <c r="G180" s="125"/>
      <c r="H180" s="125"/>
      <c r="I180" s="113"/>
      <c r="J180" s="113"/>
      <c r="K180" s="113"/>
    </row>
    <row r="181" spans="1:11" hidden="1">
      <c r="A181" s="370"/>
      <c r="B181" s="744"/>
      <c r="C181" s="746"/>
      <c r="D181" s="125"/>
      <c r="E181" s="125"/>
      <c r="F181" s="125"/>
      <c r="G181" s="125"/>
      <c r="H181" s="125"/>
      <c r="I181" s="113"/>
      <c r="J181" s="113"/>
      <c r="K181" s="113"/>
    </row>
    <row r="182" spans="1:11" hidden="1">
      <c r="A182" s="370"/>
      <c r="B182" s="372"/>
      <c r="C182" s="351"/>
      <c r="D182" s="125"/>
      <c r="E182" s="125"/>
      <c r="F182" s="125"/>
      <c r="G182" s="125"/>
      <c r="H182" s="125"/>
      <c r="I182" s="113"/>
      <c r="J182" s="113"/>
      <c r="K182" s="113"/>
    </row>
    <row r="183" spans="1:11" hidden="1">
      <c r="A183" s="371"/>
      <c r="B183" s="350"/>
      <c r="C183" s="351"/>
      <c r="D183" s="125"/>
      <c r="E183" s="125"/>
      <c r="F183" s="125"/>
      <c r="G183" s="125"/>
      <c r="H183" s="125"/>
      <c r="I183" s="113"/>
      <c r="J183" s="113"/>
      <c r="K183" s="113"/>
    </row>
    <row r="184" spans="1:11" hidden="1">
      <c r="A184" s="370"/>
      <c r="B184" s="372"/>
      <c r="C184" s="351"/>
      <c r="D184" s="125"/>
      <c r="E184" s="125"/>
      <c r="F184" s="125"/>
      <c r="G184" s="125"/>
      <c r="H184" s="125"/>
      <c r="I184" s="113"/>
      <c r="J184" s="113"/>
      <c r="K184" s="113"/>
    </row>
    <row r="185" spans="1:11" hidden="1">
      <c r="A185" s="370"/>
      <c r="B185" s="372"/>
      <c r="C185" s="351"/>
      <c r="D185" s="125"/>
      <c r="E185" s="125"/>
      <c r="F185" s="125"/>
      <c r="G185" s="125"/>
      <c r="H185" s="125"/>
      <c r="I185" s="113"/>
      <c r="J185" s="113"/>
      <c r="K185" s="113"/>
    </row>
    <row r="186" spans="1:11" hidden="1">
      <c r="A186" s="371"/>
      <c r="B186" s="350"/>
      <c r="C186" s="351"/>
      <c r="D186" s="125"/>
      <c r="E186" s="125"/>
      <c r="F186" s="125"/>
      <c r="G186" s="125"/>
      <c r="H186" s="125"/>
      <c r="I186" s="113"/>
      <c r="J186" s="113"/>
      <c r="K186" s="113"/>
    </row>
    <row r="187" spans="1:11" hidden="1">
      <c r="A187" s="124"/>
      <c r="B187" s="319"/>
      <c r="C187" s="318"/>
      <c r="D187" s="125"/>
      <c r="E187" s="125"/>
      <c r="F187" s="125">
        <f t="shared" ref="F187:F192" si="12">E187*D187</f>
        <v>0</v>
      </c>
      <c r="G187" s="125">
        <f t="shared" ref="G187:H192" si="13">F187</f>
        <v>0</v>
      </c>
      <c r="H187" s="125">
        <f t="shared" si="13"/>
        <v>0</v>
      </c>
      <c r="I187" s="113"/>
      <c r="J187" s="113"/>
      <c r="K187" s="113"/>
    </row>
    <row r="188" spans="1:11" hidden="1">
      <c r="A188" s="124"/>
      <c r="B188" s="317"/>
      <c r="C188" s="318"/>
      <c r="D188" s="125"/>
      <c r="E188" s="125"/>
      <c r="F188" s="125">
        <f t="shared" si="12"/>
        <v>0</v>
      </c>
      <c r="G188" s="125">
        <f t="shared" si="13"/>
        <v>0</v>
      </c>
      <c r="H188" s="125">
        <f t="shared" si="13"/>
        <v>0</v>
      </c>
      <c r="I188" s="113"/>
      <c r="J188" s="113"/>
      <c r="K188" s="113"/>
    </row>
    <row r="189" spans="1:11" hidden="1">
      <c r="A189" s="124"/>
      <c r="B189" s="317"/>
      <c r="C189" s="318"/>
      <c r="D189" s="125"/>
      <c r="E189" s="125"/>
      <c r="F189" s="125">
        <f t="shared" si="12"/>
        <v>0</v>
      </c>
      <c r="G189" s="125">
        <f t="shared" si="13"/>
        <v>0</v>
      </c>
      <c r="H189" s="125">
        <f t="shared" si="13"/>
        <v>0</v>
      </c>
      <c r="I189" s="113"/>
      <c r="J189" s="113"/>
      <c r="K189" s="113"/>
    </row>
    <row r="190" spans="1:11" hidden="1">
      <c r="A190" s="124"/>
      <c r="B190" s="725"/>
      <c r="C190" s="726"/>
      <c r="D190" s="125"/>
      <c r="E190" s="125"/>
      <c r="F190" s="125">
        <f t="shared" si="12"/>
        <v>0</v>
      </c>
      <c r="G190" s="125">
        <f t="shared" si="13"/>
        <v>0</v>
      </c>
      <c r="H190" s="125">
        <f t="shared" si="13"/>
        <v>0</v>
      </c>
      <c r="I190" s="113"/>
      <c r="J190" s="113"/>
      <c r="K190" s="113"/>
    </row>
    <row r="191" spans="1:11" hidden="1">
      <c r="A191" s="124"/>
      <c r="B191" s="725"/>
      <c r="C191" s="726"/>
      <c r="D191" s="125"/>
      <c r="E191" s="125"/>
      <c r="F191" s="125">
        <f t="shared" si="12"/>
        <v>0</v>
      </c>
      <c r="G191" s="125">
        <f t="shared" si="13"/>
        <v>0</v>
      </c>
      <c r="H191" s="125">
        <f t="shared" si="13"/>
        <v>0</v>
      </c>
      <c r="I191" s="113"/>
      <c r="J191" s="113"/>
      <c r="K191" s="113"/>
    </row>
    <row r="192" spans="1:11" hidden="1">
      <c r="A192" s="124"/>
      <c r="B192" s="725"/>
      <c r="C192" s="726"/>
      <c r="D192" s="125"/>
      <c r="E192" s="125"/>
      <c r="F192" s="125">
        <f t="shared" si="12"/>
        <v>0</v>
      </c>
      <c r="G192" s="125">
        <f t="shared" si="13"/>
        <v>0</v>
      </c>
      <c r="H192" s="125">
        <f t="shared" si="13"/>
        <v>0</v>
      </c>
      <c r="I192" s="113"/>
      <c r="J192" s="113"/>
      <c r="K192" s="113"/>
    </row>
    <row r="193" spans="1:11" hidden="1">
      <c r="A193" s="166"/>
      <c r="B193" s="727" t="s">
        <v>216</v>
      </c>
      <c r="C193" s="728"/>
      <c r="D193" s="167"/>
      <c r="E193" s="167"/>
      <c r="F193" s="167">
        <f>SUM(F173:F192)</f>
        <v>0</v>
      </c>
      <c r="G193" s="167">
        <f>SUM(G173:G192)</f>
        <v>0</v>
      </c>
      <c r="H193" s="167">
        <f>SUM(H173:H192)</f>
        <v>0</v>
      </c>
      <c r="I193" s="171"/>
      <c r="J193" s="171"/>
      <c r="K193" s="171"/>
    </row>
    <row r="194" spans="1:11" hidden="1">
      <c r="A194" s="18"/>
      <c r="B194" s="113"/>
      <c r="C194" s="113"/>
      <c r="D194" s="113"/>
      <c r="E194" s="373"/>
      <c r="F194" s="374"/>
      <c r="G194" s="374"/>
      <c r="H194" s="375"/>
      <c r="I194" s="113"/>
      <c r="J194" s="113"/>
      <c r="K194" s="113"/>
    </row>
    <row r="195" spans="1:11" hidden="1">
      <c r="A195" s="67" t="s">
        <v>263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1:11" hidden="1">
      <c r="A196" s="18"/>
      <c r="B196" s="113"/>
      <c r="C196" s="113"/>
      <c r="D196" s="113"/>
      <c r="E196" s="113"/>
      <c r="F196" s="113"/>
      <c r="G196" s="356"/>
      <c r="H196" s="113"/>
      <c r="I196" s="113"/>
      <c r="J196" s="113"/>
      <c r="K196" s="113"/>
    </row>
    <row r="197" spans="1:11" ht="36.75" hidden="1">
      <c r="A197" s="126" t="s">
        <v>218</v>
      </c>
      <c r="B197" s="733" t="s">
        <v>237</v>
      </c>
      <c r="C197" s="734"/>
      <c r="D197" s="120" t="s">
        <v>256</v>
      </c>
      <c r="E197" s="120" t="s">
        <v>261</v>
      </c>
      <c r="F197" s="120" t="s">
        <v>484</v>
      </c>
      <c r="G197" s="120"/>
      <c r="H197" s="120" t="s">
        <v>304</v>
      </c>
      <c r="I197" s="113"/>
      <c r="J197" s="113"/>
      <c r="K197" s="113"/>
    </row>
    <row r="198" spans="1:11" hidden="1">
      <c r="A198" s="122">
        <v>1</v>
      </c>
      <c r="B198" s="725">
        <v>2</v>
      </c>
      <c r="C198" s="726"/>
      <c r="D198" s="122">
        <v>3</v>
      </c>
      <c r="E198" s="122">
        <v>4</v>
      </c>
      <c r="F198" s="122">
        <v>5</v>
      </c>
      <c r="G198" s="122">
        <v>6</v>
      </c>
      <c r="H198" s="122">
        <v>7</v>
      </c>
      <c r="I198" s="113"/>
      <c r="J198" s="113"/>
      <c r="K198" s="113"/>
    </row>
    <row r="199" spans="1:11" hidden="1">
      <c r="A199" s="376"/>
      <c r="B199" s="735"/>
      <c r="C199" s="736"/>
      <c r="D199" s="125"/>
      <c r="E199" s="125"/>
      <c r="F199" s="125"/>
      <c r="G199" s="125"/>
      <c r="H199" s="125"/>
      <c r="I199" s="113"/>
      <c r="J199" s="113"/>
      <c r="K199" s="113"/>
    </row>
    <row r="200" spans="1:11" hidden="1">
      <c r="A200" s="376"/>
      <c r="B200" s="737"/>
      <c r="C200" s="738"/>
      <c r="D200" s="125"/>
      <c r="E200" s="125"/>
      <c r="F200" s="125"/>
      <c r="G200" s="125"/>
      <c r="H200" s="125"/>
      <c r="I200" s="113"/>
      <c r="J200" s="113"/>
      <c r="K200" s="113"/>
    </row>
    <row r="201" spans="1:11" hidden="1">
      <c r="A201" s="376"/>
      <c r="B201" s="354"/>
      <c r="C201" s="355"/>
      <c r="D201" s="125"/>
      <c r="E201" s="125"/>
      <c r="F201" s="125"/>
      <c r="G201" s="125"/>
      <c r="H201" s="125"/>
      <c r="I201" s="113"/>
      <c r="J201" s="113"/>
      <c r="K201" s="113"/>
    </row>
    <row r="202" spans="1:11" hidden="1">
      <c r="A202" s="377"/>
      <c r="B202" s="317"/>
      <c r="C202" s="318"/>
      <c r="D202" s="125"/>
      <c r="E202" s="125"/>
      <c r="F202" s="125"/>
      <c r="G202" s="125"/>
      <c r="H202" s="125"/>
      <c r="I202" s="113"/>
      <c r="J202" s="113"/>
      <c r="K202" s="113"/>
    </row>
    <row r="203" spans="1:11" hidden="1">
      <c r="A203" s="377"/>
      <c r="B203" s="317"/>
      <c r="C203" s="318"/>
      <c r="D203" s="125"/>
      <c r="E203" s="125"/>
      <c r="F203" s="125"/>
      <c r="G203" s="125"/>
      <c r="H203" s="125"/>
      <c r="I203" s="113"/>
      <c r="J203" s="113"/>
      <c r="K203" s="113"/>
    </row>
    <row r="204" spans="1:11" hidden="1">
      <c r="A204" s="130"/>
      <c r="B204" s="317"/>
      <c r="C204" s="318"/>
      <c r="D204" s="125"/>
      <c r="E204" s="125"/>
      <c r="F204" s="125"/>
      <c r="G204" s="125"/>
      <c r="H204" s="125"/>
      <c r="I204" s="113"/>
      <c r="J204" s="113"/>
      <c r="K204" s="113"/>
    </row>
    <row r="205" spans="1:11" hidden="1">
      <c r="A205" s="130"/>
      <c r="B205" s="317"/>
      <c r="C205" s="318"/>
      <c r="D205" s="125"/>
      <c r="E205" s="125"/>
      <c r="F205" s="125"/>
      <c r="G205" s="125"/>
      <c r="H205" s="125"/>
      <c r="I205" s="113"/>
      <c r="J205" s="113"/>
      <c r="K205" s="113"/>
    </row>
    <row r="206" spans="1:11" hidden="1">
      <c r="A206" s="130"/>
      <c r="B206" s="317"/>
      <c r="C206" s="318"/>
      <c r="D206" s="125"/>
      <c r="E206" s="125"/>
      <c r="F206" s="125"/>
      <c r="G206" s="125"/>
      <c r="H206" s="125"/>
      <c r="I206" s="113"/>
      <c r="J206" s="113"/>
      <c r="K206" s="113"/>
    </row>
    <row r="207" spans="1:11" hidden="1">
      <c r="A207" s="130"/>
      <c r="B207" s="317"/>
      <c r="C207" s="318"/>
      <c r="D207" s="125"/>
      <c r="E207" s="125"/>
      <c r="F207" s="125"/>
      <c r="G207" s="125"/>
      <c r="H207" s="125"/>
      <c r="I207" s="113"/>
      <c r="J207" s="113"/>
      <c r="K207" s="113"/>
    </row>
    <row r="208" spans="1:11" hidden="1">
      <c r="A208" s="130"/>
      <c r="B208" s="317"/>
      <c r="C208" s="318"/>
      <c r="D208" s="125"/>
      <c r="E208" s="125"/>
      <c r="F208" s="125"/>
      <c r="G208" s="125"/>
      <c r="H208" s="125"/>
      <c r="I208" s="113"/>
      <c r="J208" s="113"/>
      <c r="K208" s="113"/>
    </row>
    <row r="209" spans="1:11" hidden="1">
      <c r="A209" s="130"/>
      <c r="B209" s="317"/>
      <c r="C209" s="318"/>
      <c r="D209" s="125"/>
      <c r="E209" s="125"/>
      <c r="F209" s="125"/>
      <c r="G209" s="125"/>
      <c r="H209" s="125"/>
      <c r="I209" s="113"/>
      <c r="J209" s="113"/>
      <c r="K209" s="113"/>
    </row>
    <row r="210" spans="1:11" hidden="1">
      <c r="A210" s="130"/>
      <c r="B210" s="317"/>
      <c r="C210" s="318"/>
      <c r="D210" s="125"/>
      <c r="E210" s="125"/>
      <c r="F210" s="125"/>
      <c r="G210" s="125"/>
      <c r="H210" s="125"/>
      <c r="I210" s="113"/>
      <c r="J210" s="113"/>
      <c r="K210" s="113"/>
    </row>
    <row r="211" spans="1:11" hidden="1">
      <c r="A211" s="130"/>
      <c r="B211" s="317"/>
      <c r="C211" s="318"/>
      <c r="D211" s="125"/>
      <c r="E211" s="125"/>
      <c r="F211" s="125"/>
      <c r="G211" s="125"/>
      <c r="H211" s="125"/>
      <c r="I211" s="113"/>
      <c r="J211" s="113"/>
      <c r="K211" s="113"/>
    </row>
    <row r="212" spans="1:11" hidden="1">
      <c r="A212" s="130"/>
      <c r="B212" s="317"/>
      <c r="C212" s="318"/>
      <c r="D212" s="125"/>
      <c r="E212" s="125"/>
      <c r="F212" s="125"/>
      <c r="G212" s="125"/>
      <c r="H212" s="125"/>
      <c r="I212" s="113"/>
      <c r="J212" s="113"/>
      <c r="K212" s="113"/>
    </row>
    <row r="213" spans="1:11" hidden="1">
      <c r="A213" s="130"/>
      <c r="B213" s="317"/>
      <c r="C213" s="318"/>
      <c r="D213" s="125"/>
      <c r="E213" s="125"/>
      <c r="F213" s="125"/>
      <c r="G213" s="125"/>
      <c r="H213" s="125"/>
      <c r="I213" s="113"/>
      <c r="J213" s="113"/>
      <c r="K213" s="113"/>
    </row>
    <row r="214" spans="1:11" hidden="1">
      <c r="A214" s="130"/>
      <c r="B214" s="317"/>
      <c r="C214" s="318"/>
      <c r="D214" s="125"/>
      <c r="E214" s="125"/>
      <c r="F214" s="125"/>
      <c r="G214" s="125"/>
      <c r="H214" s="125"/>
      <c r="I214" s="113"/>
      <c r="J214" s="113"/>
      <c r="K214" s="113"/>
    </row>
    <row r="215" spans="1:11" hidden="1">
      <c r="A215" s="130"/>
      <c r="B215" s="317"/>
      <c r="C215" s="318"/>
      <c r="D215" s="125"/>
      <c r="E215" s="125"/>
      <c r="F215" s="125"/>
      <c r="G215" s="125"/>
      <c r="H215" s="125"/>
      <c r="I215" s="113"/>
      <c r="J215" s="113"/>
      <c r="K215" s="113"/>
    </row>
    <row r="216" spans="1:11" hidden="1">
      <c r="A216" s="130"/>
      <c r="B216" s="317"/>
      <c r="C216" s="318"/>
      <c r="D216" s="125"/>
      <c r="E216" s="125"/>
      <c r="F216" s="125"/>
      <c r="G216" s="125"/>
      <c r="H216" s="125"/>
      <c r="I216" s="113"/>
      <c r="J216" s="113"/>
      <c r="K216" s="113"/>
    </row>
    <row r="217" spans="1:11" hidden="1">
      <c r="A217" s="124"/>
      <c r="B217" s="725"/>
      <c r="C217" s="726"/>
      <c r="D217" s="125"/>
      <c r="E217" s="125"/>
      <c r="F217" s="125"/>
      <c r="G217" s="125"/>
      <c r="H217" s="125"/>
      <c r="I217" s="113"/>
      <c r="J217" s="113"/>
      <c r="K217" s="113"/>
    </row>
    <row r="218" spans="1:11" hidden="1">
      <c r="A218" s="124"/>
      <c r="B218" s="725"/>
      <c r="C218" s="726"/>
      <c r="D218" s="125"/>
      <c r="E218" s="125"/>
      <c r="F218" s="125"/>
      <c r="G218" s="125"/>
      <c r="H218" s="125"/>
      <c r="I218" s="113"/>
      <c r="J218" s="113"/>
      <c r="K218" s="113"/>
    </row>
    <row r="219" spans="1:11" hidden="1">
      <c r="A219" s="124"/>
      <c r="B219" s="725"/>
      <c r="C219" s="726"/>
      <c r="D219" s="125"/>
      <c r="E219" s="125"/>
      <c r="F219" s="125"/>
      <c r="G219" s="125"/>
      <c r="H219" s="125"/>
      <c r="I219" s="113"/>
      <c r="J219" s="113"/>
      <c r="K219" s="113"/>
    </row>
    <row r="220" spans="1:11" hidden="1">
      <c r="A220" s="124"/>
      <c r="B220" s="725"/>
      <c r="C220" s="726"/>
      <c r="D220" s="125"/>
      <c r="E220" s="125"/>
      <c r="F220" s="125"/>
      <c r="G220" s="125"/>
      <c r="H220" s="125"/>
      <c r="I220" s="113"/>
      <c r="J220" s="113"/>
      <c r="K220" s="113"/>
    </row>
    <row r="221" spans="1:11" hidden="1">
      <c r="A221" s="166"/>
      <c r="B221" s="727"/>
      <c r="C221" s="728"/>
      <c r="D221" s="167"/>
      <c r="E221" s="167"/>
      <c r="F221" s="167"/>
      <c r="G221" s="167"/>
      <c r="H221" s="167"/>
      <c r="I221" s="171"/>
      <c r="J221" s="171"/>
      <c r="K221" s="171"/>
    </row>
    <row r="222" spans="1:11" ht="15.75" thickBot="1">
      <c r="A222" s="18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1:11" ht="15.75" thickBot="1">
      <c r="A223" s="131"/>
      <c r="B223" s="729" t="s">
        <v>264</v>
      </c>
      <c r="C223" s="730"/>
      <c r="D223" s="730"/>
      <c r="E223" s="731"/>
      <c r="F223" s="175">
        <f>F221+F193+F167+F141+G129+F115+G103+F90+F78+F66+F41+I29+F54</f>
        <v>191673</v>
      </c>
      <c r="G223" s="175">
        <f t="shared" ref="G223:H223" si="14">G221+G193+G167+G141+H129+G115+H103+G90+G78+G66+G41+J29+G54</f>
        <v>191673</v>
      </c>
      <c r="H223" s="175">
        <f t="shared" si="14"/>
        <v>191673</v>
      </c>
      <c r="I223" s="113"/>
      <c r="J223" s="113"/>
      <c r="K223" s="113"/>
    </row>
    <row r="224" spans="1:11">
      <c r="A224" s="18"/>
      <c r="B224" s="113"/>
      <c r="C224" s="113"/>
      <c r="D224" s="113"/>
      <c r="E224" s="113"/>
      <c r="F224" s="113"/>
      <c r="G224" s="356"/>
      <c r="H224" s="113"/>
      <c r="I224" s="113"/>
      <c r="J224" s="113"/>
      <c r="K224" s="113"/>
    </row>
    <row r="225" spans="1:11">
      <c r="A225" s="18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1:11">
      <c r="A226" s="732" t="s">
        <v>179</v>
      </c>
      <c r="B226" s="732"/>
      <c r="C226" s="732"/>
      <c r="D226" s="378" t="s">
        <v>492</v>
      </c>
      <c r="E226" s="379"/>
      <c r="F226" s="378"/>
      <c r="G226" s="379"/>
      <c r="H226" s="378" t="s">
        <v>475</v>
      </c>
      <c r="I226" s="312"/>
      <c r="J226" s="132"/>
      <c r="K226" s="132"/>
    </row>
    <row r="227" spans="1:11">
      <c r="A227" s="732" t="s">
        <v>180</v>
      </c>
      <c r="B227" s="732"/>
      <c r="C227" s="732"/>
      <c r="D227" s="134" t="s">
        <v>265</v>
      </c>
      <c r="E227" s="135"/>
      <c r="F227" s="134" t="s">
        <v>266</v>
      </c>
      <c r="G227" s="135"/>
      <c r="H227" s="322" t="s">
        <v>267</v>
      </c>
      <c r="I227" s="322"/>
      <c r="J227" s="135"/>
      <c r="K227" s="135"/>
    </row>
    <row r="228" spans="1:11">
      <c r="A228" s="321"/>
      <c r="B228" s="323"/>
      <c r="C228" s="323"/>
      <c r="D228" s="323"/>
      <c r="E228" s="323"/>
      <c r="F228" s="323"/>
      <c r="G228" s="323"/>
      <c r="H228" s="323"/>
      <c r="I228" s="323"/>
      <c r="J228" s="323"/>
      <c r="K228" s="323"/>
    </row>
    <row r="229" spans="1:11">
      <c r="A229" s="723" t="s">
        <v>182</v>
      </c>
      <c r="B229" s="723"/>
      <c r="C229" s="359" t="s">
        <v>476</v>
      </c>
      <c r="D229" s="360"/>
      <c r="E229" s="359" t="s">
        <v>477</v>
      </c>
      <c r="F229" s="132"/>
      <c r="G229" s="312"/>
      <c r="H229" s="312"/>
      <c r="I229" s="323"/>
      <c r="J229" s="323"/>
      <c r="K229" s="323"/>
    </row>
    <row r="230" spans="1:11">
      <c r="A230" s="323"/>
      <c r="B230" s="323"/>
      <c r="C230" s="134" t="s">
        <v>268</v>
      </c>
      <c r="D230" s="135"/>
      <c r="E230" s="322" t="s">
        <v>183</v>
      </c>
      <c r="F230" s="135"/>
      <c r="G230" s="724" t="s">
        <v>184</v>
      </c>
      <c r="H230" s="724"/>
      <c r="I230" s="323"/>
      <c r="J230" s="323"/>
      <c r="K230" s="323"/>
    </row>
    <row r="231" spans="1:11">
      <c r="A231" s="323"/>
      <c r="B231" s="323"/>
      <c r="C231" s="323"/>
      <c r="D231" s="323"/>
      <c r="E231" s="323"/>
      <c r="F231" s="323"/>
      <c r="G231" s="323"/>
      <c r="H231" s="323"/>
      <c r="I231" s="323"/>
      <c r="J231" s="323"/>
      <c r="K231" s="323"/>
    </row>
    <row r="232" spans="1:11">
      <c r="A232" s="323"/>
      <c r="B232" s="323"/>
      <c r="C232" s="323"/>
      <c r="D232" s="323"/>
      <c r="E232" s="323"/>
      <c r="F232" s="323"/>
      <c r="G232" s="323"/>
      <c r="H232" s="323"/>
      <c r="I232" s="323"/>
      <c r="J232" s="323"/>
      <c r="K232" s="323"/>
    </row>
    <row r="233" spans="1:11">
      <c r="A233" s="323"/>
      <c r="B233" s="323"/>
      <c r="C233" s="323"/>
      <c r="D233" s="323"/>
      <c r="E233" s="323"/>
      <c r="F233" s="323"/>
      <c r="G233" s="323"/>
      <c r="H233" s="323"/>
      <c r="I233" s="323"/>
      <c r="J233" s="323"/>
      <c r="K233" s="323"/>
    </row>
    <row r="234" spans="1:11">
      <c r="A234" s="323"/>
      <c r="B234" s="323"/>
      <c r="C234" s="323"/>
      <c r="D234" s="323"/>
      <c r="E234" s="323"/>
      <c r="F234" s="323"/>
      <c r="G234" s="323"/>
      <c r="H234" s="323"/>
      <c r="I234" s="323"/>
      <c r="J234" s="323"/>
      <c r="K234" s="323"/>
    </row>
    <row r="235" spans="1:11">
      <c r="A235" s="723" t="s">
        <v>489</v>
      </c>
      <c r="B235" s="723"/>
      <c r="C235" s="723"/>
      <c r="D235" s="723"/>
      <c r="E235" s="723"/>
      <c r="F235" s="323"/>
      <c r="G235" s="323"/>
      <c r="H235" s="323"/>
      <c r="I235" s="323"/>
      <c r="J235" s="323"/>
      <c r="K235" s="323"/>
    </row>
  </sheetData>
  <mergeCells count="129">
    <mergeCell ref="A226:C226"/>
    <mergeCell ref="A227:C227"/>
    <mergeCell ref="A229:B229"/>
    <mergeCell ref="G230:H230"/>
    <mergeCell ref="A235:E235"/>
    <mergeCell ref="B217:C217"/>
    <mergeCell ref="B218:C218"/>
    <mergeCell ref="B219:C219"/>
    <mergeCell ref="B220:C220"/>
    <mergeCell ref="B221:C221"/>
    <mergeCell ref="B223:E223"/>
    <mergeCell ref="B192:C192"/>
    <mergeCell ref="B193:C193"/>
    <mergeCell ref="B197:C197"/>
    <mergeCell ref="B198:C198"/>
    <mergeCell ref="B199:C199"/>
    <mergeCell ref="B200:C200"/>
    <mergeCell ref="B174:C174"/>
    <mergeCell ref="B175:C175"/>
    <mergeCell ref="B176:C176"/>
    <mergeCell ref="B181:C181"/>
    <mergeCell ref="B190:C190"/>
    <mergeCell ref="B191:C191"/>
    <mergeCell ref="B165:C165"/>
    <mergeCell ref="B166:C166"/>
    <mergeCell ref="B167:C167"/>
    <mergeCell ref="B171:C171"/>
    <mergeCell ref="B172:C172"/>
    <mergeCell ref="B173:C173"/>
    <mergeCell ref="B156:C156"/>
    <mergeCell ref="B158:C158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4:C154"/>
    <mergeCell ref="B138:C138"/>
    <mergeCell ref="B139:C139"/>
    <mergeCell ref="B140:C140"/>
    <mergeCell ref="B141:C141"/>
    <mergeCell ref="B145:C145"/>
    <mergeCell ref="B146:C146"/>
    <mergeCell ref="B129:C129"/>
    <mergeCell ref="B133:C133"/>
    <mergeCell ref="B134:C134"/>
    <mergeCell ref="B135:C135"/>
    <mergeCell ref="B136:C136"/>
    <mergeCell ref="B137:C137"/>
    <mergeCell ref="B121:C121"/>
    <mergeCell ref="B122:C122"/>
    <mergeCell ref="B123:C123"/>
    <mergeCell ref="B124:F124"/>
    <mergeCell ref="B125:C125"/>
    <mergeCell ref="B127:C127"/>
    <mergeCell ref="B112:C112"/>
    <mergeCell ref="B113:C113"/>
    <mergeCell ref="B114:C114"/>
    <mergeCell ref="B115:C115"/>
    <mergeCell ref="B119:C119"/>
    <mergeCell ref="B120:C120"/>
    <mergeCell ref="B103:C103"/>
    <mergeCell ref="B107:C107"/>
    <mergeCell ref="B108:C108"/>
    <mergeCell ref="B109:C109"/>
    <mergeCell ref="B110:C110"/>
    <mergeCell ref="B111:C111"/>
    <mergeCell ref="B95:C95"/>
    <mergeCell ref="B96:C96"/>
    <mergeCell ref="B97:C97"/>
    <mergeCell ref="B98:C98"/>
    <mergeCell ref="B101:C101"/>
    <mergeCell ref="B102:C102"/>
    <mergeCell ref="B85:C85"/>
    <mergeCell ref="B86:C86"/>
    <mergeCell ref="B87:C87"/>
    <mergeCell ref="B88:C88"/>
    <mergeCell ref="B89:C89"/>
    <mergeCell ref="B90:C90"/>
    <mergeCell ref="B77:C77"/>
    <mergeCell ref="B78:C78"/>
    <mergeCell ref="A80:H80"/>
    <mergeCell ref="B82:C82"/>
    <mergeCell ref="B83:C83"/>
    <mergeCell ref="B84:C84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3:D53"/>
    <mergeCell ref="B54:D54"/>
    <mergeCell ref="B58:C58"/>
    <mergeCell ref="B59:C59"/>
    <mergeCell ref="B60:C60"/>
    <mergeCell ref="B61:C61"/>
    <mergeCell ref="B47:D47"/>
    <mergeCell ref="B48:D48"/>
    <mergeCell ref="B49:D49"/>
    <mergeCell ref="B50:D50"/>
    <mergeCell ref="B51:D51"/>
    <mergeCell ref="B52:D52"/>
    <mergeCell ref="J13:J15"/>
    <mergeCell ref="K13:K15"/>
    <mergeCell ref="D14:D15"/>
    <mergeCell ref="A43:H43"/>
    <mergeCell ref="B45:D45"/>
    <mergeCell ref="B46:D46"/>
    <mergeCell ref="A1:K1"/>
    <mergeCell ref="A4:K4"/>
    <mergeCell ref="A6:B6"/>
    <mergeCell ref="A8:C8"/>
    <mergeCell ref="A13:A15"/>
    <mergeCell ref="B13:B15"/>
    <mergeCell ref="C13:C15"/>
    <mergeCell ref="D13:G13"/>
    <mergeCell ref="H13:H15"/>
    <mergeCell ref="I13:I15"/>
  </mergeCells>
  <pageMargins left="0.25" right="0.25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план </vt:lpstr>
      <vt:lpstr>вспомогательная</vt:lpstr>
      <vt:lpstr>закупки</vt:lpstr>
      <vt:lpstr>аренда</vt:lpstr>
      <vt:lpstr>возмещение</vt:lpstr>
      <vt:lpstr>иная прин </vt:lpstr>
      <vt:lpstr>местный</vt:lpstr>
      <vt:lpstr>12101Z1053</vt:lpstr>
      <vt:lpstr>1210171053</vt:lpstr>
      <vt:lpstr>субвенция</vt:lpstr>
      <vt:lpstr>классное</vt:lpstr>
      <vt:lpstr>лагерь</vt:lpstr>
      <vt:lpstr>1214S3042</vt:lpstr>
      <vt:lpstr>12124L3041</vt:lpstr>
      <vt:lpstr>1210921170</vt:lpstr>
      <vt:lpstr>1211221140</vt:lpstr>
      <vt:lpstr>платные</vt:lpstr>
      <vt:lpstr>вспомогательная!Заголовки_для_печати</vt:lpstr>
      <vt:lpstr>закупки!Заголовки_для_печати</vt:lpstr>
      <vt:lpstr>'план '!Заголовки_для_печати</vt:lpstr>
      <vt:lpstr>вспомогательная!Область_печати</vt:lpstr>
      <vt:lpstr>закупки!Область_печати</vt:lpstr>
      <vt:lpstr>местный!Область_печати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Н.В.</dc:creator>
  <cp:lastModifiedBy>User</cp:lastModifiedBy>
  <cp:lastPrinted>2021-03-01T10:34:05Z</cp:lastPrinted>
  <dcterms:created xsi:type="dcterms:W3CDTF">2020-01-16T12:18:17Z</dcterms:created>
  <dcterms:modified xsi:type="dcterms:W3CDTF">2021-03-10T13:13:02Z</dcterms:modified>
</cp:coreProperties>
</file>